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1\1 Enero\"/>
    </mc:Choice>
  </mc:AlternateContent>
  <bookViews>
    <workbookView xWindow="0" yWindow="0" windowWidth="20490" windowHeight="7755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(G)'!$A$1:$K$80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I57" i="1" l="1"/>
  <c r="F57" i="1"/>
  <c r="H57" i="1" l="1"/>
  <c r="E57" i="1"/>
  <c r="F58" i="6" l="1"/>
  <c r="F29" i="1" l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 s="1"/>
  <c r="G28" i="2"/>
  <c r="D28" i="2" l="1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56" i="2" s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S24" i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5" i="1" l="1"/>
  <c r="G13" i="1"/>
  <c r="D17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<sst xmlns="http://schemas.openxmlformats.org/spreadsheetml/2006/main" count="308" uniqueCount="132">
  <si>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</si>
  <si>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</si>
  <si>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</si>
  <si>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</si>
  <si>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</si>
  <si>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</si>
  <si>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</si>
  <si>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</si>
  <si>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</si>
  <si>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</si>
  <si>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</si>
  <si>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</si>
  <si>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</si>
  <si>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</si>
  <si>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</si>
  <si>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</si>
  <si>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</si>
  <si>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</si>
  <si>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</si>
  <si>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</si>
  <si>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</si>
  <si>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</si>
  <si>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</si>
  <si>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</si>
  <si>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</si>
  <si>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</si>
  <si>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</si>
  <si>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</si>
  <si>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</si>
  <si>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</si>
  <si>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</si>
  <si>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</si>
  <si>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</si>
  <si>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</si>
  <si>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</si>
  <si>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</si>
  <si>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</si>
  <si>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</si>
  <si>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</si>
  <si>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</si>
  <si>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</si>
  <si>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</si>
  <si>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</si>
  <si>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</si>
  <si>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</si>
  <si>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</si>
  <si>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</si>
  <si>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</si>
  <si>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</si>
  <si>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</si>
  <si>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</si>
  <si>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</si>
  <si>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</si>
  <si>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</si>
  <si>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</si>
  <si>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</si>
  <si>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</si>
  <si>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</si>
  <si>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</si>
  <si>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</si>
  <si>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</si>
  <si>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</si>
  <si>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</si>
  <si>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</si>
  <si>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</si>
  <si>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</si>
  <si>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</si>
  <si>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</si>
  <si>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</si>
  <si>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</si>
  <si>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</si>
  <si>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</si>
  <si>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</si>
  <si>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</si>
  <si>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</si>
  <si>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</si>
  <si>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</si>
  <si>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</si>
  <si>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</si>
  <si>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</si>
  <si>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</si>
  <si>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</si>
  <si>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</si>
  <si>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</si>
  <si>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</si>
  <si>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</si>
  <si>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</si>
  <si>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</si>
  <si>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</si>
  <si>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</si>
  <si>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</si>
  <si>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</si>
  <si>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</si>
  <si>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</si>
  <si>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</si>
  <si>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</si>
  <si>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</si>
  <si>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</si>
  <si>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</si>
  <si>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</si>
  <si>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</si>
  <si>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</si>
  <si>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</si>
  <si>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</si>
  <si>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</si>
  <si>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</si>
  <si>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</si>
  <si>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</si>
  <si>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</si>
  <si>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</si>
  <si>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</si>
  <si>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</si>
  <si>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</si>
  <si>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</si>
  <si>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</si>
  <si>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Cuadro N° 2 : Producción de energía eléctrica nacional según sistema y mercado 2020 vs 2019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</si>
  <si>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</si>
  <si>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</si>
  <si>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</si>
  <si>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</si>
  <si>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</si>
  <si>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Cuadro N° 4 : Producción de energía eléctrica nacional según destino y recurso 2020 vs 2019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</si>
  <si>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</si>
  <si>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</si>
  <si>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(1): Incluye información de Recursos Renovables No Convencionales de Aislados</t>
  </si>
  <si>
    <t>1. RESUMEN NACIONAL AL MES DE DICIEMBRE 2020</t>
  </si>
  <si>
    <t>Diciembre</t>
  </si>
  <si>
    <t>Enero - Diciembre</t>
  </si>
  <si>
    <t>Grafico N° 11: Generación de energía eléctrica por Región, al mes de diciembre 2020</t>
  </si>
  <si>
    <t>Cuadro N° 8: Producción de energía eléctrica nacional por zona del país, al mes de diciembre</t>
  </si>
  <si>
    <t>3.2 Producción de energía eléctrica (GWh) por origen y zona al mes de diciembre 2020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</si>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</sst>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4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73" xfId="0" applyNumberFormat="1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4" fontId="0" fillId="68" borderId="79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178" fontId="96" fillId="68" borderId="30" xfId="33743" applyNumberFormat="1" applyFont="1" applyFill="1" applyBorder="1" applyAlignment="1">
      <alignment horizontal="center"/>
    </xf>
    <xf numFmtId="43" fontId="0" fillId="0" borderId="0" xfId="0" applyNumberFormat="1"/>
    <xf numFmtId="9" fontId="96" fillId="68" borderId="53" xfId="33743" applyNumberFormat="1" applyFont="1" applyFill="1" applyBorder="1" applyAlignment="1">
      <alignment horizontal="center" vertical="center"/>
    </xf>
    <xf numFmtId="9" fontId="96" fillId="68" borderId="21" xfId="33743" applyNumberFormat="1" applyFont="1" applyFill="1" applyBorder="1" applyAlignment="1">
      <alignment horizontal="center" vertical="center"/>
    </xf>
    <xf numFmtId="9" fontId="98" fillId="68" borderId="23" xfId="33743" applyNumberFormat="1" applyFont="1" applyFill="1" applyBorder="1"/>
    <xf numFmtId="9" fontId="98" fillId="68" borderId="30" xfId="33743" applyNumberFormat="1" applyFont="1" applyFill="1" applyBorder="1"/>
    <xf numFmtId="9" fontId="98" fillId="68" borderId="24" xfId="33743" applyNumberFormat="1" applyFont="1" applyFill="1" applyBorder="1"/>
    <xf numFmtId="9" fontId="98" fillId="0" borderId="16" xfId="33743" applyFont="1" applyBorder="1"/>
    <xf numFmtId="9" fontId="98" fillId="0" borderId="68" xfId="33743" applyFont="1" applyBorder="1"/>
    <xf numFmtId="9" fontId="98" fillId="0" borderId="68" xfId="33743" applyNumberFormat="1" applyFont="1" applyBorder="1"/>
    <xf numFmtId="9" fontId="98" fillId="0" borderId="69" xfId="33743" applyFont="1" applyBorder="1"/>
    <xf numFmtId="167" fontId="0" fillId="68" borderId="27" xfId="0" applyNumberFormat="1" applyFill="1" applyBorder="1"/>
    <xf numFmtId="167" fontId="0" fillId="68" borderId="58" xfId="0" applyNumberFormat="1" applyFill="1" applyBorder="1"/>
    <xf numFmtId="167" fontId="0" fillId="68" borderId="55" xfId="0" applyNumberFormat="1" applyFill="1" applyBorder="1"/>
    <xf numFmtId="167" fontId="0" fillId="68" borderId="28" xfId="0" applyNumberFormat="1" applyFill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180" fontId="0" fillId="68" borderId="40" xfId="33744" applyNumberFormat="1" applyFont="1" applyFill="1" applyBorder="1"/>
    <xf numFmtId="43" fontId="0" fillId="68" borderId="114" xfId="33744" applyNumberFormat="1" applyFont="1" applyFill="1" applyBorder="1"/>
    <xf numFmtId="4" fontId="99" fillId="0" borderId="26" xfId="0" applyNumberFormat="1" applyFont="1" applyBorder="1"/>
    <xf numFmtId="4" fontId="99" fillId="0" borderId="55" xfId="0" applyNumberFormat="1" applyFont="1" applyBorder="1"/>
    <xf numFmtId="9" fontId="98" fillId="0" borderId="16" xfId="33743" applyNumberFormat="1" applyFont="1" applyBorder="1"/>
    <xf numFmtId="3" fontId="0" fillId="0" borderId="26" xfId="0" applyNumberFormat="1" applyFill="1" applyBorder="1" applyAlignment="1">
      <alignment vertical="center"/>
    </xf>
    <xf numFmtId="3" fontId="0" fillId="0" borderId="55" xfId="0" applyNumberFormat="1" applyFill="1" applyBorder="1" applyAlignment="1">
      <alignment vertical="center"/>
    </xf>
    <xf numFmtId="3" fontId="0" fillId="0" borderId="97" xfId="0" applyNumberFormat="1" applyFill="1" applyBorder="1"/>
    <xf numFmtId="3" fontId="0" fillId="0" borderId="118" xfId="0" applyNumberFormat="1" applyFill="1" applyBorder="1"/>
    <xf numFmtId="3" fontId="0" fillId="0" borderId="81" xfId="0" applyNumberFormat="1" applyFill="1" applyBorder="1" applyAlignment="1">
      <alignment vertical="center"/>
    </xf>
    <xf numFmtId="3" fontId="0" fillId="0" borderId="99" xfId="0" applyNumberFormat="1" applyFill="1" applyBorder="1"/>
    <xf numFmtId="3" fontId="0" fillId="0" borderId="108" xfId="0" applyNumberFormat="1" applyFill="1" applyBorder="1"/>
    <xf numFmtId="3" fontId="0" fillId="0" borderId="119" xfId="0" applyNumberFormat="1" applyFill="1" applyBorder="1"/>
    <xf numFmtId="3" fontId="0" fillId="0" borderId="110" xfId="0" applyNumberFormat="1" applyFill="1" applyBorder="1"/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Diciembre 2020</a:t>
            </a:r>
          </a:p>
          <a:p>
            <a:pPr>
              <a:defRPr sz="800" b="1"/>
            </a:pPr>
            <a:r>
              <a:rPr lang="es-PE" sz="800" b="1"/>
              <a:t>Total : 4 899 GWh</a:t>
            </a:r>
          </a:p>
        </c:rich>
      </c:tx>
      <c:layout>
        <c:manualLayout>
          <c:xMode val="edge"/>
          <c:yMode val="edge"/>
          <c:x val="0.15346189164370982"/>
          <c:y val="3.5721853336008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44638823377E-2"/>
                  <c:y val="0.13406981456201453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55.090876645477678</c:v>
                </c:pt>
                <c:pt idx="1">
                  <c:v>141.66225423122833</c:v>
                </c:pt>
                <c:pt idx="2">
                  <c:v>2790.3376718151803</c:v>
                </c:pt>
                <c:pt idx="3">
                  <c:v>1691.1405284030479</c:v>
                </c:pt>
                <c:pt idx="4">
                  <c:v>220.98476638250003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2316.6454034289027</c:v>
                </c:pt>
                <c:pt idx="2" formatCode="_(* #,##0.00_);_(* \(#,##0.00\);_(* &quot;-&quot;??_);_(@_)">
                  <c:v>6.4619999999999999E-3</c:v>
                </c:pt>
                <c:pt idx="3">
                  <c:v>1587.9455887657973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72.262526237499969</c:v>
                </c:pt>
                <c:pt idx="1">
                  <c:v>439.35051007346402</c:v>
                </c:pt>
                <c:pt idx="2">
                  <c:v>73.650183340000041</c:v>
                </c:pt>
                <c:pt idx="3">
                  <c:v>3.8900559005385276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44.244866710891749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3904.5974541946998</c:v>
                </c:pt>
                <c:pt idx="1">
                  <c:v>589.15327555150259</c:v>
                </c:pt>
                <c:pt idx="2">
                  <c:v>361.22050102033961</c:v>
                </c:pt>
                <c:pt idx="3">
                  <c:v>44.244866710891749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8641616"/>
        <c:axId val="1098635344"/>
      </c:barChart>
      <c:catAx>
        <c:axId val="10986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35344"/>
        <c:crosses val="autoZero"/>
        <c:auto val="1"/>
        <c:lblAlgn val="ctr"/>
        <c:lblOffset val="100"/>
        <c:noMultiLvlLbl val="0"/>
      </c:catAx>
      <c:valAx>
        <c:axId val="109863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4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ANCASH</c:v>
                </c:pt>
                <c:pt idx="3">
                  <c:v>CALLAO</c:v>
                </c:pt>
                <c:pt idx="4">
                  <c:v>HUANUCO</c:v>
                </c:pt>
                <c:pt idx="5">
                  <c:v>JUNIN</c:v>
                </c:pt>
                <c:pt idx="6">
                  <c:v>CUSCO</c:v>
                </c:pt>
                <c:pt idx="7">
                  <c:v>CAJAMARCA</c:v>
                </c:pt>
                <c:pt idx="8">
                  <c:v>PIURA</c:v>
                </c:pt>
                <c:pt idx="9">
                  <c:v>PUNO</c:v>
                </c:pt>
                <c:pt idx="10">
                  <c:v>LA LIBERTAD</c:v>
                </c:pt>
                <c:pt idx="11">
                  <c:v>AREQUIPA</c:v>
                </c:pt>
                <c:pt idx="12">
                  <c:v>ICA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SAN MARTÍN</c:v>
                </c:pt>
                <c:pt idx="18">
                  <c:v>UCAYALI</c:v>
                </c:pt>
                <c:pt idx="19">
                  <c:v>AMAZONAS</c:v>
                </c:pt>
                <c:pt idx="20">
                  <c:v>APURIMAC</c:v>
                </c:pt>
                <c:pt idx="21">
                  <c:v>LAMBAYEQUE</c:v>
                </c:pt>
                <c:pt idx="22">
                  <c:v>AYACUCHO</c:v>
                </c:pt>
                <c:pt idx="23">
                  <c:v>MADRE DE DIOS</c:v>
                </c:pt>
                <c:pt idx="24">
                  <c:v>TUMBES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1989.6641572161677</c:v>
                </c:pt>
                <c:pt idx="1">
                  <c:v>813.49416042078803</c:v>
                </c:pt>
                <c:pt idx="2">
                  <c:v>275.56403388993351</c:v>
                </c:pt>
                <c:pt idx="3">
                  <c:v>259.69380203864409</c:v>
                </c:pt>
                <c:pt idx="4">
                  <c:v>244.20855949500006</c:v>
                </c:pt>
                <c:pt idx="5">
                  <c:v>242.30604783583328</c:v>
                </c:pt>
                <c:pt idx="6">
                  <c:v>198.19136519933332</c:v>
                </c:pt>
                <c:pt idx="7">
                  <c:v>125.73269786298604</c:v>
                </c:pt>
                <c:pt idx="8">
                  <c:v>121.09312582707108</c:v>
                </c:pt>
                <c:pt idx="9">
                  <c:v>117.07876861416672</c:v>
                </c:pt>
                <c:pt idx="10">
                  <c:v>105.96663664604384</c:v>
                </c:pt>
                <c:pt idx="11">
                  <c:v>98.040159592169204</c:v>
                </c:pt>
                <c:pt idx="12">
                  <c:v>93.564035196666666</c:v>
                </c:pt>
                <c:pt idx="13">
                  <c:v>76.118227144166681</c:v>
                </c:pt>
                <c:pt idx="14">
                  <c:v>65.547565559166671</c:v>
                </c:pt>
                <c:pt idx="15">
                  <c:v>44.244866710891749</c:v>
                </c:pt>
                <c:pt idx="16">
                  <c:v>13.279609307500003</c:v>
                </c:pt>
                <c:pt idx="17">
                  <c:v>3.7411319999999999</c:v>
                </c:pt>
                <c:pt idx="18">
                  <c:v>3.548466154166666</c:v>
                </c:pt>
                <c:pt idx="19">
                  <c:v>2.9702170842386653</c:v>
                </c:pt>
                <c:pt idx="20">
                  <c:v>2.3580909999999995</c:v>
                </c:pt>
                <c:pt idx="21">
                  <c:v>1.7166916000000001</c:v>
                </c:pt>
                <c:pt idx="22">
                  <c:v>0.87862533333333315</c:v>
                </c:pt>
                <c:pt idx="23">
                  <c:v>0.21505574916666664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098644752"/>
        <c:axId val="1098635736"/>
      </c:barChart>
      <c:catAx>
        <c:axId val="109864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098635736"/>
        <c:crosses val="autoZero"/>
        <c:auto val="1"/>
        <c:lblAlgn val="ctr"/>
        <c:lblOffset val="100"/>
        <c:noMultiLvlLbl val="0"/>
      </c:catAx>
      <c:valAx>
        <c:axId val="1098635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0986447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72817887096451E-3"/>
                  <c:y val="1.217656012176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3262.4556702736568</c:v>
                </c:pt>
                <c:pt idx="1">
                  <c:v>1484.3582223264286</c:v>
                </c:pt>
                <c:pt idx="2">
                  <c:v>131.848297</c:v>
                </c:pt>
                <c:pt idx="3">
                  <c:v>78.588724999999997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2845.428548460658</c:v>
                </c:pt>
                <c:pt idx="1">
                  <c:v>1832.8027826342764</c:v>
                </c:pt>
                <c:pt idx="2">
                  <c:v>147.32812104249999</c:v>
                </c:pt>
                <c:pt idx="3">
                  <c:v>73.65664534000004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652200"/>
        <c:axId val="1098652592"/>
      </c:barChart>
      <c:catAx>
        <c:axId val="109865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52592"/>
        <c:crosses val="autoZero"/>
        <c:auto val="1"/>
        <c:lblAlgn val="ctr"/>
        <c:lblOffset val="100"/>
        <c:noMultiLvlLbl val="0"/>
      </c:catAx>
      <c:valAx>
        <c:axId val="10986525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5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230.82243765722245</c:v>
                </c:pt>
                <c:pt idx="1">
                  <c:v>192.79189120160589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4726.4284769428623</c:v>
                </c:pt>
                <c:pt idx="1">
                  <c:v>4706.4242062758285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663960"/>
        <c:axId val="1098659648"/>
        <c:axId val="388070168"/>
      </c:bar3DChart>
      <c:catAx>
        <c:axId val="109866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59648"/>
        <c:crosses val="autoZero"/>
        <c:auto val="1"/>
        <c:lblAlgn val="ctr"/>
        <c:lblOffset val="100"/>
        <c:noMultiLvlLbl val="0"/>
      </c:catAx>
      <c:valAx>
        <c:axId val="10986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63960"/>
        <c:crosses val="autoZero"/>
        <c:crossBetween val="between"/>
      </c:valAx>
      <c:serAx>
        <c:axId val="388070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5964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3027.7293002761567</c:v>
                </c:pt>
                <c:pt idx="1">
                  <c:v>2614.0137525556579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1437.4071423264288</c:v>
                </c:pt>
                <c:pt idx="1">
                  <c:v>1781.4735816784889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234.72636999750014</c:v>
                </c:pt>
                <c:pt idx="1">
                  <c:v>231.41479590500003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257.388102</c:v>
                </c:pt>
                <c:pt idx="1">
                  <c:v>272.3139673382874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98662000"/>
        <c:axId val="1098665136"/>
        <c:axId val="0"/>
      </c:bar3DChart>
      <c:catAx>
        <c:axId val="109866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65136"/>
        <c:crosses val="autoZero"/>
        <c:auto val="1"/>
        <c:lblAlgn val="ctr"/>
        <c:lblOffset val="100"/>
        <c:noMultiLvlLbl val="0"/>
      </c:catAx>
      <c:valAx>
        <c:axId val="109866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6200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2845.428548460658</c:v>
                </c:pt>
                <c:pt idx="1">
                  <c:v>1723.5177726853321</c:v>
                </c:pt>
                <c:pt idx="2">
                  <c:v>57.696995123063971</c:v>
                </c:pt>
                <c:pt idx="3">
                  <c:v>51.329200955787371</c:v>
                </c:pt>
                <c:pt idx="4">
                  <c:v>147.32812104249999</c:v>
                </c:pt>
                <c:pt idx="5">
                  <c:v>73.65664534000004</c:v>
                </c:pt>
                <c:pt idx="6" formatCode="#,##0.0">
                  <c:v>0.25881387009323348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98662392"/>
        <c:axId val="1098665528"/>
      </c:barChart>
      <c:catAx>
        <c:axId val="109866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65528"/>
        <c:crosses val="autoZero"/>
        <c:auto val="1"/>
        <c:lblAlgn val="ctr"/>
        <c:lblOffset val="100"/>
        <c:noMultiLvlLbl val="0"/>
      </c:catAx>
      <c:valAx>
        <c:axId val="109866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62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4699.8628126000858</c:v>
                </c:pt>
                <c:pt idx="1">
                  <c:v>4626.9021301391467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994604662395302E-2"/>
                  <c:y val="-1.77178400475521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257.388102</c:v>
                </c:pt>
                <c:pt idx="1">
                  <c:v>272.3139673382874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98664352"/>
        <c:axId val="1098664744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698249516567E-2"/>
                  <c:y val="3.894678533114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164834543561929E-2"/>
                  <c:y val="5.200833061311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5.1921540070110447E-2</c:v>
                </c:pt>
                <c:pt idx="1">
                  <c:v>5.5583171250294432E-2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643576"/>
        <c:axId val="1098642008"/>
      </c:lineChart>
      <c:catAx>
        <c:axId val="10986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64744"/>
        <c:crosses val="autoZero"/>
        <c:auto val="1"/>
        <c:lblAlgn val="ctr"/>
        <c:lblOffset val="100"/>
        <c:noMultiLvlLbl val="1"/>
      </c:catAx>
      <c:valAx>
        <c:axId val="1098664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64352"/>
        <c:crosses val="autoZero"/>
        <c:crossBetween val="between"/>
        <c:majorUnit val="1000"/>
      </c:valAx>
      <c:valAx>
        <c:axId val="109864200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98643576"/>
        <c:crosses val="max"/>
        <c:crossBetween val="between"/>
      </c:valAx>
      <c:catAx>
        <c:axId val="1098643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8642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937813558810065"/>
                  <c:y val="0.25501150025029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3262.4556702736568</c:v>
                </c:pt>
                <c:pt idx="1">
                  <c:v>1318.8198799999998</c:v>
                </c:pt>
                <c:pt idx="2">
                  <c:v>118.23726232642912</c:v>
                </c:pt>
                <c:pt idx="3" formatCode="#,##0.00">
                  <c:v>0.35</c:v>
                </c:pt>
                <c:pt idx="4">
                  <c:v>46.95107999999999</c:v>
                </c:pt>
                <c:pt idx="5">
                  <c:v>131.848297</c:v>
                </c:pt>
                <c:pt idx="6">
                  <c:v>78.588724999999997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2845.428548460658</c:v>
                </c:pt>
                <c:pt idx="1">
                  <c:v>1723.5177726853321</c:v>
                </c:pt>
                <c:pt idx="2">
                  <c:v>57.696995123063971</c:v>
                </c:pt>
                <c:pt idx="3" formatCode="#,##0.00">
                  <c:v>0.25881387009323348</c:v>
                </c:pt>
                <c:pt idx="4">
                  <c:v>51.329200955787371</c:v>
                </c:pt>
                <c:pt idx="5">
                  <c:v>147.32812104249999</c:v>
                </c:pt>
                <c:pt idx="6">
                  <c:v>73.65664534000004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75.065594805000018</c:v>
                </c:pt>
                <c:pt idx="1">
                  <c:v>89.432634958292766</c:v>
                </c:pt>
                <c:pt idx="2">
                  <c:v>0</c:v>
                </c:pt>
                <c:pt idx="3">
                  <c:v>196.72227125704683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507023</xdr:colOff>
      <xdr:row>6</xdr:row>
      <xdr:rowOff>85445</xdr:rowOff>
    </xdr:from>
    <xdr:to>
      <xdr:col>14</xdr:col>
      <xdr:colOff>30773</xdr:colOff>
      <xdr:row>18</xdr:row>
      <xdr:rowOff>75468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diciembre 2020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015506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330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6555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547689" y="3289867"/>
          <a:ext cx="4020931" cy="5628253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356120</xdr:colOff>
      <xdr:row>19</xdr:row>
      <xdr:rowOff>45514</xdr:rowOff>
    </xdr:from>
    <xdr:to>
      <xdr:col>8</xdr:col>
      <xdr:colOff>625927</xdr:colOff>
      <xdr:row>43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G4" zoomScale="130" zoomScaleNormal="120" zoomScaleSheetLayoutView="130" workbookViewId="0">
      <selection activeCell="O18" sqref="O18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6.425781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7" t="s">
        <v>64</v>
      </c>
      <c r="R11" s="144" t="s">
        <v>41</v>
      </c>
      <c r="S11" s="145">
        <f>E12</f>
        <v>55.090876645477678</v>
      </c>
    </row>
    <row r="12" spans="2:19" s="1" customFormat="1">
      <c r="B12" s="8"/>
      <c r="C12" s="135" t="s">
        <v>66</v>
      </c>
      <c r="D12" s="136">
        <v>2790.3376718151803</v>
      </c>
      <c r="E12" s="137">
        <v>55.090876645477678</v>
      </c>
      <c r="F12" s="138">
        <f>SUM(D12:E12)</f>
        <v>2845.428548460658</v>
      </c>
      <c r="G12" s="363">
        <f>(F12/F$16)</f>
        <v>0.58079261903261337</v>
      </c>
      <c r="H12" s="9"/>
      <c r="I12" s="9"/>
      <c r="J12" s="9"/>
      <c r="K12" s="9"/>
      <c r="Q12" s="387"/>
      <c r="R12" s="144" t="s">
        <v>73</v>
      </c>
      <c r="S12" s="145">
        <f>E13</f>
        <v>141.66225423122833</v>
      </c>
    </row>
    <row r="13" spans="2:19" s="1" customFormat="1">
      <c r="B13" s="8"/>
      <c r="C13" s="135" t="s">
        <v>65</v>
      </c>
      <c r="D13" s="136">
        <v>1691.1405284030479</v>
      </c>
      <c r="E13" s="137">
        <v>141.66225423122833</v>
      </c>
      <c r="F13" s="138">
        <f>SUM(D13:E13)</f>
        <v>1832.8027826342764</v>
      </c>
      <c r="G13" s="363">
        <f>(F13/F$16)</f>
        <v>0.37410123296622316</v>
      </c>
      <c r="H13" s="9"/>
      <c r="I13" s="9"/>
      <c r="J13" s="9"/>
      <c r="K13" s="9"/>
      <c r="Q13" s="387" t="s">
        <v>88</v>
      </c>
      <c r="R13" s="144" t="s">
        <v>41</v>
      </c>
      <c r="S13" s="145">
        <f>D12</f>
        <v>2790.3376718151803</v>
      </c>
    </row>
    <row r="14" spans="2:19" s="1" customFormat="1">
      <c r="B14" s="8"/>
      <c r="C14" s="135" t="s">
        <v>67</v>
      </c>
      <c r="D14" s="136">
        <v>147.32812104249999</v>
      </c>
      <c r="E14" s="139"/>
      <c r="F14" s="138">
        <f>SUM(D14:E14)</f>
        <v>147.32812104249999</v>
      </c>
      <c r="G14" s="363">
        <f>(F14/F$16)</f>
        <v>3.0071774363730968E-2</v>
      </c>
      <c r="H14" s="9"/>
      <c r="I14" s="9"/>
      <c r="J14" s="9"/>
      <c r="K14" s="9"/>
      <c r="Q14" s="387"/>
      <c r="R14" s="144" t="s">
        <v>73</v>
      </c>
      <c r="S14" s="145">
        <f>D13</f>
        <v>1691.1405284030479</v>
      </c>
    </row>
    <row r="15" spans="2:19" s="1" customFormat="1" ht="13.5" thickBot="1">
      <c r="B15" s="8"/>
      <c r="C15" s="140" t="s">
        <v>5</v>
      </c>
      <c r="D15" s="141">
        <v>73.65664534000004</v>
      </c>
      <c r="E15" s="142"/>
      <c r="F15" s="143">
        <f>SUM(D15:E15)</f>
        <v>73.65664534000004</v>
      </c>
      <c r="G15" s="364">
        <f>(F15/F$16)</f>
        <v>1.5034373637432576E-2</v>
      </c>
      <c r="H15" s="9"/>
      <c r="I15" s="9"/>
      <c r="J15" s="9"/>
      <c r="K15" s="9"/>
      <c r="Q15" s="387"/>
      <c r="R15" s="144" t="s">
        <v>87</v>
      </c>
      <c r="S15" s="145">
        <f>SUM(D14:D15)</f>
        <v>220.98476638250003</v>
      </c>
    </row>
    <row r="16" spans="2:19" s="1" customFormat="1" ht="13.5" thickTop="1">
      <c r="B16" s="8"/>
      <c r="C16" s="237" t="s">
        <v>71</v>
      </c>
      <c r="D16" s="238">
        <f>SUM(D12:D15)</f>
        <v>4702.4629666007286</v>
      </c>
      <c r="E16" s="239">
        <f>SUM(E12:E15)</f>
        <v>196.753130876706</v>
      </c>
      <c r="F16" s="240">
        <f>SUM(F12:F15)</f>
        <v>4899.2160974774342</v>
      </c>
      <c r="G16" s="241"/>
      <c r="H16" s="9"/>
      <c r="I16" s="9"/>
      <c r="J16" s="9"/>
      <c r="K16" s="9"/>
    </row>
    <row r="17" spans="2:19" s="1" customFormat="1">
      <c r="B17" s="8"/>
      <c r="C17" s="242" t="s">
        <v>107</v>
      </c>
      <c r="D17" s="306">
        <f>D16/F16</f>
        <v>0.95983987500000001</v>
      </c>
      <c r="E17" s="307">
        <f>E16/F16</f>
        <v>4.0160125000000012E-2</v>
      </c>
      <c r="F17" s="243"/>
      <c r="G17" s="244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115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83" t="s">
        <v>110</v>
      </c>
      <c r="D23" s="384"/>
      <c r="E23" s="388" t="s">
        <v>126</v>
      </c>
      <c r="F23" s="389"/>
      <c r="G23" s="149" t="s">
        <v>74</v>
      </c>
      <c r="H23" s="390" t="s">
        <v>127</v>
      </c>
      <c r="I23" s="391"/>
      <c r="J23" s="149" t="s">
        <v>74</v>
      </c>
      <c r="K23" s="9"/>
      <c r="Q23" s="144"/>
      <c r="R23" s="144">
        <v>2019</v>
      </c>
      <c r="S23" s="144">
        <v>2020</v>
      </c>
    </row>
    <row r="24" spans="2:19" s="1" customFormat="1" ht="12.75" customHeight="1">
      <c r="B24" s="8"/>
      <c r="C24" s="150"/>
      <c r="D24" s="151"/>
      <c r="E24" s="152">
        <v>2019</v>
      </c>
      <c r="F24" s="337">
        <v>2020</v>
      </c>
      <c r="G24" s="153"/>
      <c r="H24" s="225">
        <v>2019</v>
      </c>
      <c r="I24" s="337">
        <v>2020</v>
      </c>
      <c r="J24" s="153"/>
      <c r="K24" s="9"/>
      <c r="Q24" s="144" t="s">
        <v>76</v>
      </c>
      <c r="R24" s="145">
        <f>E29</f>
        <v>230.82243765722245</v>
      </c>
      <c r="S24" s="145">
        <f>F29</f>
        <v>192.79189120160589</v>
      </c>
    </row>
    <row r="25" spans="2:19" s="1" customFormat="1">
      <c r="B25" s="8"/>
      <c r="C25" s="379" t="s">
        <v>0</v>
      </c>
      <c r="D25" s="380"/>
      <c r="E25" s="188">
        <f>SUM(E26:E28)</f>
        <v>4726.4284769428623</v>
      </c>
      <c r="F25" s="338">
        <f>SUM(F26:F28)</f>
        <v>4706.4242062758285</v>
      </c>
      <c r="G25" s="189">
        <f>((F25/E25)-1)</f>
        <v>-4.2324285165048492E-3</v>
      </c>
      <c r="H25" s="226">
        <f>SUM(H26:H28)</f>
        <v>54459.73998755058</v>
      </c>
      <c r="I25" s="338">
        <f>SUM(I26:I28)</f>
        <v>50616.276564857377</v>
      </c>
      <c r="J25" s="189">
        <f>((I25/H25)-1)</f>
        <v>-7.0574399061982596E-2</v>
      </c>
      <c r="K25" s="9"/>
      <c r="Q25" s="144" t="s">
        <v>0</v>
      </c>
      <c r="R25" s="145">
        <f>E25</f>
        <v>4726.4284769428623</v>
      </c>
      <c r="S25" s="145">
        <f>F25</f>
        <v>4706.4242062758285</v>
      </c>
    </row>
    <row r="26" spans="2:19" s="1" customFormat="1">
      <c r="B26" s="8"/>
      <c r="C26" s="258" t="s">
        <v>62</v>
      </c>
      <c r="D26" s="266" t="s">
        <v>102</v>
      </c>
      <c r="E26" s="155">
        <v>4592.618565159999</v>
      </c>
      <c r="F26" s="339">
        <v>4575.4964665025082</v>
      </c>
      <c r="G26" s="348">
        <f t="shared" ref="G26:G32" si="0">((F26/E26)-1)</f>
        <v>-3.7281778172001401E-3</v>
      </c>
      <c r="H26" s="227">
        <v>52904.330897862485</v>
      </c>
      <c r="I26" s="339">
        <v>49178.87966932002</v>
      </c>
      <c r="J26" s="156">
        <f t="shared" ref="J26:J32" si="1">((I26/H26)-1)</f>
        <v>-7.0418643716236518E-2</v>
      </c>
      <c r="K26" s="9"/>
    </row>
    <row r="27" spans="2:19" s="1" customFormat="1">
      <c r="B27" s="8"/>
      <c r="C27" s="259" t="s">
        <v>104</v>
      </c>
      <c r="D27" s="267" t="s">
        <v>77</v>
      </c>
      <c r="E27" s="261">
        <v>83.29808058499998</v>
      </c>
      <c r="F27" s="340">
        <v>80.847929953232878</v>
      </c>
      <c r="G27" s="270">
        <f t="shared" si="0"/>
        <v>-2.9414250779366879E-2</v>
      </c>
      <c r="H27" s="262">
        <v>1024.5310995507436</v>
      </c>
      <c r="I27" s="340">
        <v>960.2447814151335</v>
      </c>
      <c r="J27" s="270">
        <f t="shared" si="1"/>
        <v>-6.2747063670199665E-2</v>
      </c>
      <c r="K27" s="9"/>
    </row>
    <row r="28" spans="2:19" s="1" customFormat="1">
      <c r="B28" s="8"/>
      <c r="C28" s="260" t="s">
        <v>64</v>
      </c>
      <c r="D28" s="268" t="s">
        <v>77</v>
      </c>
      <c r="E28" s="155">
        <v>50.511831197863131</v>
      </c>
      <c r="F28" s="339">
        <v>50.079809820087775</v>
      </c>
      <c r="G28" s="269">
        <f t="shared" si="0"/>
        <v>-8.5528749904761892E-3</v>
      </c>
      <c r="H28" s="227">
        <v>530.87799013735162</v>
      </c>
      <c r="I28" s="339">
        <v>477.15211412222556</v>
      </c>
      <c r="J28" s="269">
        <f t="shared" si="1"/>
        <v>-0.10120192777482795</v>
      </c>
      <c r="K28" s="9"/>
    </row>
    <row r="29" spans="2:19" s="1" customFormat="1">
      <c r="B29" s="8"/>
      <c r="C29" s="379" t="s">
        <v>76</v>
      </c>
      <c r="D29" s="380"/>
      <c r="E29" s="188">
        <f>SUM(E30:E31)</f>
        <v>230.82243765722245</v>
      </c>
      <c r="F29" s="338">
        <f>SUM(F30:F31)</f>
        <v>192.79189120160589</v>
      </c>
      <c r="G29" s="189">
        <f t="shared" si="0"/>
        <v>-0.16476104680989878</v>
      </c>
      <c r="H29" s="226">
        <f>SUM(H30:H31)</f>
        <v>2508.7641318212254</v>
      </c>
      <c r="I29" s="338">
        <f>SUM(I30:I31)</f>
        <v>2097.2165834767115</v>
      </c>
      <c r="J29" s="189">
        <f t="shared" si="1"/>
        <v>-0.16404393825805896</v>
      </c>
      <c r="K29" s="9"/>
      <c r="Q29" s="144"/>
      <c r="R29" s="144"/>
      <c r="S29" s="144"/>
    </row>
    <row r="30" spans="2:19" s="1" customFormat="1">
      <c r="B30" s="8"/>
      <c r="C30" s="263" t="s">
        <v>68</v>
      </c>
      <c r="D30" s="151"/>
      <c r="E30" s="155">
        <v>41.381401528656951</v>
      </c>
      <c r="F30" s="339">
        <v>46.118570144987665</v>
      </c>
      <c r="G30" s="269">
        <f t="shared" si="0"/>
        <v>0.11447578963825533</v>
      </c>
      <c r="H30" s="227">
        <v>519.72995788556261</v>
      </c>
      <c r="I30" s="339">
        <v>482.59753159514986</v>
      </c>
      <c r="J30" s="269">
        <f t="shared" si="1"/>
        <v>-7.1445614644728206E-2</v>
      </c>
      <c r="K30" s="9"/>
    </row>
    <row r="31" spans="2:19" s="1" customFormat="1" ht="13.5" thickBot="1">
      <c r="B31" s="8"/>
      <c r="C31" s="264" t="s">
        <v>64</v>
      </c>
      <c r="D31" s="265"/>
      <c r="E31" s="158">
        <v>189.44103612856549</v>
      </c>
      <c r="F31" s="314">
        <v>146.67332105661822</v>
      </c>
      <c r="G31" s="159">
        <f t="shared" si="0"/>
        <v>-0.2257573963168289</v>
      </c>
      <c r="H31" s="228">
        <v>1989.0341739356629</v>
      </c>
      <c r="I31" s="314">
        <v>1614.6190518815615</v>
      </c>
      <c r="J31" s="290">
        <f t="shared" si="1"/>
        <v>-0.18823966272698756</v>
      </c>
      <c r="K31" s="9"/>
    </row>
    <row r="32" spans="2:19" s="1" customFormat="1" ht="14.25" thickTop="1" thickBot="1">
      <c r="B32" s="8"/>
      <c r="C32" s="381" t="s">
        <v>106</v>
      </c>
      <c r="D32" s="382"/>
      <c r="E32" s="190">
        <f>SUM(E25,E29)</f>
        <v>4957.2509146000848</v>
      </c>
      <c r="F32" s="341">
        <f>SUM(F25,F29)</f>
        <v>4899.2160974774342</v>
      </c>
      <c r="G32" s="191">
        <f t="shared" si="0"/>
        <v>-1.1707056617151768E-2</v>
      </c>
      <c r="H32" s="229">
        <f>SUM(H25,H29)</f>
        <v>56968.504119371806</v>
      </c>
      <c r="I32" s="341">
        <f>SUM(I25,I29)</f>
        <v>52713.493148334092</v>
      </c>
      <c r="J32" s="191">
        <f t="shared" si="1"/>
        <v>-7.4690586260116043E-2</v>
      </c>
      <c r="K32" s="9"/>
    </row>
    <row r="33" spans="2:19" s="1" customFormat="1">
      <c r="B33" s="8"/>
      <c r="C33" s="301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116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8" t="s">
        <v>126</v>
      </c>
      <c r="F38" s="389"/>
      <c r="G38" s="385" t="s">
        <v>74</v>
      </c>
      <c r="H38" s="390" t="s">
        <v>127</v>
      </c>
      <c r="I38" s="391"/>
      <c r="J38" s="385" t="s">
        <v>74</v>
      </c>
      <c r="K38" s="9"/>
      <c r="Q38" s="144"/>
      <c r="R38" s="144">
        <v>2019</v>
      </c>
      <c r="S38" s="144">
        <v>2020</v>
      </c>
    </row>
    <row r="39" spans="2:19" s="1" customFormat="1" ht="12.75" customHeight="1">
      <c r="B39" s="8"/>
      <c r="C39" s="150" t="s">
        <v>75</v>
      </c>
      <c r="D39" s="151"/>
      <c r="E39" s="152">
        <v>2019</v>
      </c>
      <c r="F39" s="337">
        <v>2020</v>
      </c>
      <c r="G39" s="386"/>
      <c r="H39" s="230">
        <v>2019</v>
      </c>
      <c r="I39" s="342">
        <v>2020</v>
      </c>
      <c r="J39" s="386"/>
      <c r="K39" s="9"/>
      <c r="Q39" s="144" t="s">
        <v>66</v>
      </c>
      <c r="R39" s="145">
        <f>SUM(E41,E46)</f>
        <v>3262.4556702736568</v>
      </c>
      <c r="S39" s="145">
        <f>SUM(F41,F46)</f>
        <v>2845.428548460658</v>
      </c>
    </row>
    <row r="40" spans="2:19" s="1" customFormat="1">
      <c r="B40" s="8"/>
      <c r="C40" s="379" t="s">
        <v>68</v>
      </c>
      <c r="D40" s="380"/>
      <c r="E40" s="188">
        <f>SUM(E41:E44)</f>
        <v>4717.2980472736563</v>
      </c>
      <c r="F40" s="338">
        <f>SUM(F41:F44)</f>
        <v>4702.4629666007286</v>
      </c>
      <c r="G40" s="189">
        <f>((F40/E40)-1)</f>
        <v>-3.1448258143242924E-3</v>
      </c>
      <c r="H40" s="226">
        <f>SUM(H41:H44)</f>
        <v>54448.591955298798</v>
      </c>
      <c r="I40" s="338">
        <f>SUM(I41:I44)</f>
        <v>50621.721982330288</v>
      </c>
      <c r="J40" s="189">
        <f>((I40/H40)-1)</f>
        <v>-7.0284094327182856E-2</v>
      </c>
      <c r="K40" s="9"/>
      <c r="Q40" s="144" t="s">
        <v>65</v>
      </c>
      <c r="R40" s="145">
        <f>SUM(E42,E47)</f>
        <v>1484.3582223264286</v>
      </c>
      <c r="S40" s="145">
        <f>SUM(F42,F47)</f>
        <v>1832.8027826342764</v>
      </c>
    </row>
    <row r="41" spans="2:19" s="1" customFormat="1">
      <c r="B41" s="8"/>
      <c r="C41" s="154" t="s">
        <v>66</v>
      </c>
      <c r="D41" s="130"/>
      <c r="E41" s="155">
        <v>3196.0462202736567</v>
      </c>
      <c r="F41" s="339">
        <f>D12</f>
        <v>2790.3376718151803</v>
      </c>
      <c r="G41" s="269">
        <f t="shared" ref="G41:G48" si="2">((F41/E41)-1)</f>
        <v>-0.12694076383655617</v>
      </c>
      <c r="H41" s="227">
        <v>30769.211317901299</v>
      </c>
      <c r="I41" s="339">
        <v>29895.46332924156</v>
      </c>
      <c r="J41" s="269">
        <f t="shared" ref="J41:J48" si="3">((I41/H41)-1)</f>
        <v>-2.8396827583013096E-2</v>
      </c>
      <c r="K41" s="9"/>
      <c r="Q41" s="144" t="s">
        <v>67</v>
      </c>
      <c r="R41" s="145">
        <f>E43</f>
        <v>131.848297</v>
      </c>
      <c r="S41" s="145">
        <f>F43</f>
        <v>147.32812104249999</v>
      </c>
    </row>
    <row r="42" spans="2:19" s="1" customFormat="1">
      <c r="B42" s="8"/>
      <c r="C42" s="154" t="s">
        <v>65</v>
      </c>
      <c r="D42" s="130"/>
      <c r="E42" s="155">
        <v>1310.8148050000002</v>
      </c>
      <c r="F42" s="339">
        <f>D13</f>
        <v>1691.1405284030479</v>
      </c>
      <c r="G42" s="269">
        <f t="shared" si="2"/>
        <v>0.29014451313208012</v>
      </c>
      <c r="H42" s="227">
        <v>21261.283018397498</v>
      </c>
      <c r="I42" s="339">
        <v>18143.898037676227</v>
      </c>
      <c r="J42" s="269">
        <f t="shared" si="3"/>
        <v>-0.14662261811875521</v>
      </c>
      <c r="K42" s="9"/>
      <c r="Q42" s="144" t="s">
        <v>5</v>
      </c>
      <c r="R42" s="145">
        <f>E44</f>
        <v>78.588724999999997</v>
      </c>
      <c r="S42" s="145">
        <f>F44</f>
        <v>73.65664534000004</v>
      </c>
    </row>
    <row r="43" spans="2:19" s="1" customFormat="1">
      <c r="B43" s="8"/>
      <c r="C43" s="154" t="s">
        <v>67</v>
      </c>
      <c r="D43" s="130"/>
      <c r="E43" s="155">
        <v>131.848297</v>
      </c>
      <c r="F43" s="339">
        <f>D14</f>
        <v>147.32812104249999</v>
      </c>
      <c r="G43" s="269">
        <f t="shared" si="2"/>
        <v>0.11740632525955186</v>
      </c>
      <c r="H43" s="227">
        <v>1655.0389920000002</v>
      </c>
      <c r="I43" s="339">
        <v>1804.4223259149999</v>
      </c>
      <c r="J43" s="269">
        <f t="shared" si="3"/>
        <v>9.0259706651672378E-2</v>
      </c>
      <c r="K43" s="9"/>
    </row>
    <row r="44" spans="2:19" s="1" customFormat="1">
      <c r="B44" s="8"/>
      <c r="C44" s="154" t="s">
        <v>5</v>
      </c>
      <c r="D44" s="130"/>
      <c r="E44" s="155">
        <v>78.588724999999997</v>
      </c>
      <c r="F44" s="339">
        <f>D15</f>
        <v>73.65664534000004</v>
      </c>
      <c r="G44" s="93">
        <f t="shared" si="2"/>
        <v>-6.275810760385736E-2</v>
      </c>
      <c r="H44" s="227">
        <v>763.058627</v>
      </c>
      <c r="I44" s="339">
        <v>777.93828949750014</v>
      </c>
      <c r="J44" s="156">
        <f t="shared" si="3"/>
        <v>1.9500025254940434E-2</v>
      </c>
      <c r="K44" s="9"/>
      <c r="Q44" s="144"/>
      <c r="R44" s="144"/>
      <c r="S44" s="144"/>
    </row>
    <row r="45" spans="2:19" s="1" customFormat="1">
      <c r="B45" s="8"/>
      <c r="C45" s="379" t="s">
        <v>64</v>
      </c>
      <c r="D45" s="380"/>
      <c r="E45" s="188">
        <f>SUM(E46:E47)</f>
        <v>239.9528673264285</v>
      </c>
      <c r="F45" s="338">
        <f>SUM(F46:F47)</f>
        <v>196.753130876706</v>
      </c>
      <c r="G45" s="189">
        <f t="shared" si="2"/>
        <v>-0.18003425810683982</v>
      </c>
      <c r="H45" s="226">
        <f>SUM(H46:H47)</f>
        <v>2519.912164073015</v>
      </c>
      <c r="I45" s="338">
        <f>SUM(I46:I47)</f>
        <v>2091.7711660037867</v>
      </c>
      <c r="J45" s="189">
        <f t="shared" si="3"/>
        <v>-0.16990314351957814</v>
      </c>
      <c r="K45" s="9"/>
    </row>
    <row r="46" spans="2:19" s="1" customFormat="1">
      <c r="B46" s="8"/>
      <c r="C46" s="154" t="s">
        <v>66</v>
      </c>
      <c r="D46" s="130"/>
      <c r="E46" s="155">
        <v>66.409449999999993</v>
      </c>
      <c r="F46" s="339">
        <f>E12</f>
        <v>55.090876645477678</v>
      </c>
      <c r="G46" s="156">
        <f t="shared" si="2"/>
        <v>-0.17043618573143304</v>
      </c>
      <c r="H46" s="227">
        <v>692.8770668815547</v>
      </c>
      <c r="I46" s="339">
        <v>612.22855946404206</v>
      </c>
      <c r="J46" s="156">
        <f t="shared" si="3"/>
        <v>-0.11639656047571167</v>
      </c>
      <c r="K46" s="9"/>
    </row>
    <row r="47" spans="2:19" s="1" customFormat="1" ht="13.5" thickBot="1">
      <c r="B47" s="8"/>
      <c r="C47" s="157" t="s">
        <v>65</v>
      </c>
      <c r="D47" s="130"/>
      <c r="E47" s="158">
        <v>173.54341732642851</v>
      </c>
      <c r="F47" s="314">
        <f>E13</f>
        <v>141.66225423122833</v>
      </c>
      <c r="G47" s="290">
        <f t="shared" si="2"/>
        <v>-0.18370712981428117</v>
      </c>
      <c r="H47" s="228">
        <v>1827.0350971914602</v>
      </c>
      <c r="I47" s="314">
        <v>1479.5426065397446</v>
      </c>
      <c r="J47" s="159">
        <f t="shared" si="3"/>
        <v>-0.19019475388616514</v>
      </c>
      <c r="K47" s="9"/>
    </row>
    <row r="48" spans="2:19" s="1" customFormat="1" ht="14.25" thickTop="1" thickBot="1">
      <c r="B48" s="8"/>
      <c r="C48" s="381" t="s">
        <v>106</v>
      </c>
      <c r="D48" s="382"/>
      <c r="E48" s="190">
        <f>SUM(E40,E45)</f>
        <v>4957.2509146000848</v>
      </c>
      <c r="F48" s="341">
        <f>SUM(F40,F45)</f>
        <v>4899.2160974774342</v>
      </c>
      <c r="G48" s="191">
        <f t="shared" si="2"/>
        <v>-1.1707056617151768E-2</v>
      </c>
      <c r="H48" s="229">
        <f>SUM(H40,H45)</f>
        <v>56968.504119371813</v>
      </c>
      <c r="I48" s="341">
        <f>SUM(I40,I45)</f>
        <v>52713.493148334077</v>
      </c>
      <c r="J48" s="191">
        <f t="shared" si="3"/>
        <v>-7.4690586260116376E-2</v>
      </c>
      <c r="K48" s="9"/>
    </row>
    <row r="49" spans="2:23" s="1" customFormat="1">
      <c r="B49" s="8"/>
      <c r="C49" s="256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121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1"/>
    </row>
    <row r="53" spans="2:23" s="1" customFormat="1" ht="13.5" thickBot="1">
      <c r="B53" s="8"/>
      <c r="C53" s="10"/>
      <c r="H53" s="9"/>
      <c r="I53" s="9"/>
      <c r="J53" s="9"/>
      <c r="K53" s="9"/>
      <c r="L53" s="251"/>
      <c r="M53" s="251"/>
    </row>
    <row r="54" spans="2:23" s="1" customFormat="1" ht="12.75" customHeight="1">
      <c r="B54" s="8"/>
      <c r="C54" s="147"/>
      <c r="D54" s="148"/>
      <c r="E54" s="388" t="s">
        <v>126</v>
      </c>
      <c r="F54" s="389"/>
      <c r="G54" s="385" t="s">
        <v>74</v>
      </c>
      <c r="H54" s="390" t="s">
        <v>127</v>
      </c>
      <c r="I54" s="391"/>
      <c r="J54" s="385" t="s">
        <v>74</v>
      </c>
      <c r="K54" s="9"/>
      <c r="L54" s="251"/>
      <c r="M54" s="251"/>
    </row>
    <row r="55" spans="2:23" s="1" customFormat="1" ht="12.75" customHeight="1">
      <c r="B55" s="8"/>
      <c r="C55" s="150" t="s">
        <v>75</v>
      </c>
      <c r="D55" s="151"/>
      <c r="E55" s="152">
        <v>2019</v>
      </c>
      <c r="F55" s="337">
        <v>2020</v>
      </c>
      <c r="G55" s="386"/>
      <c r="H55" s="230">
        <v>2019</v>
      </c>
      <c r="I55" s="342">
        <v>2020</v>
      </c>
      <c r="J55" s="386"/>
      <c r="K55" s="9"/>
      <c r="L55" s="251"/>
      <c r="M55" s="251"/>
    </row>
    <row r="56" spans="2:23" s="1" customFormat="1">
      <c r="B56" s="8"/>
      <c r="C56" s="379" t="s">
        <v>68</v>
      </c>
      <c r="D56" s="380"/>
      <c r="E56" s="188">
        <f>SUM(E57:E60)</f>
        <v>4717.2980472736572</v>
      </c>
      <c r="F56" s="338">
        <f>SUM(F57:F60)</f>
        <v>4702.4629666007277</v>
      </c>
      <c r="G56" s="189">
        <f>((F56/E56)-1)</f>
        <v>-3.1448258143246255E-3</v>
      </c>
      <c r="H56" s="226">
        <f>SUM(H57:H60)</f>
        <v>54448.591955298791</v>
      </c>
      <c r="I56" s="338">
        <f>SUM(I57:I60)</f>
        <v>50621.721982330288</v>
      </c>
      <c r="J56" s="189">
        <f>((I56/H56)-1)</f>
        <v>-7.0284094327182745E-2</v>
      </c>
      <c r="K56" s="9"/>
    </row>
    <row r="57" spans="2:23" s="1" customFormat="1" ht="25.5">
      <c r="B57" s="8"/>
      <c r="C57" s="393" t="s">
        <v>78</v>
      </c>
      <c r="D57" s="271" t="s">
        <v>79</v>
      </c>
      <c r="E57" s="370">
        <f>SUM(E43:E44)+24.52329</f>
        <v>234.96031200000002</v>
      </c>
      <c r="F57" s="371">
        <f>SUM(F43:F44)+26.2212712689657</f>
        <v>247.20603765146572</v>
      </c>
      <c r="G57" s="166">
        <f t="shared" ref="G57:G65" si="4">((F57/E57)-1)</f>
        <v>5.2118272857356818E-2</v>
      </c>
      <c r="H57" s="374">
        <f>SUM(H43:H44)+311.434998</f>
        <v>2729.5326170000003</v>
      </c>
      <c r="I57" s="371">
        <f>SUM(I43:I44)+297.658175448966</f>
        <v>2880.0187908614662</v>
      </c>
      <c r="J57" s="166">
        <f t="shared" ref="J57:J65" si="5">((I57/H57)-1)</f>
        <v>5.5132579447562557E-2</v>
      </c>
      <c r="K57" s="9"/>
      <c r="L57" s="251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94"/>
      <c r="D58" s="272" t="s">
        <v>108</v>
      </c>
      <c r="E58" s="372">
        <v>234.72636999750014</v>
      </c>
      <c r="F58" s="373">
        <v>231.41479590500003</v>
      </c>
      <c r="G58" s="270">
        <f t="shared" si="4"/>
        <v>-1.4108232034327317E-2</v>
      </c>
      <c r="H58" s="375">
        <v>1845.1128347399997</v>
      </c>
      <c r="I58" s="373">
        <v>2085.0540282825004</v>
      </c>
      <c r="J58" s="270">
        <f t="shared" si="5"/>
        <v>0.13004147444257064</v>
      </c>
      <c r="K58" s="9"/>
      <c r="L58" s="251"/>
      <c r="M58" s="251"/>
      <c r="Q58" s="387" t="s">
        <v>80</v>
      </c>
      <c r="R58" s="144" t="s">
        <v>66</v>
      </c>
      <c r="T58" s="145">
        <f>SUM(E60,E64)</f>
        <v>3027.7293002761567</v>
      </c>
      <c r="U58" s="145">
        <f>SUM(F60,F64)</f>
        <v>2614.0137525556579</v>
      </c>
      <c r="V58" s="146">
        <f t="shared" ref="V58:W61" si="6">T58/T$64</f>
        <v>0.61076781313588424</v>
      </c>
      <c r="W58" s="146">
        <f t="shared" si="6"/>
        <v>0.53355755299334351</v>
      </c>
    </row>
    <row r="59" spans="2:23" s="1" customFormat="1">
      <c r="B59" s="8"/>
      <c r="C59" s="392" t="s">
        <v>80</v>
      </c>
      <c r="D59" s="273" t="s">
        <v>81</v>
      </c>
      <c r="E59" s="155">
        <f>SUM(E42:E44)-E57</f>
        <v>1286.2915150000003</v>
      </c>
      <c r="F59" s="339">
        <f>SUM(F42:F44)-F57</f>
        <v>1664.9192571340823</v>
      </c>
      <c r="G59" s="269">
        <f t="shared" si="4"/>
        <v>0.29435609091620396</v>
      </c>
      <c r="H59" s="227">
        <f>SUM(H42:H44)-H57</f>
        <v>20949.848020397498</v>
      </c>
      <c r="I59" s="339">
        <f>SUM(I42:I44)-I57</f>
        <v>17846.239862227259</v>
      </c>
      <c r="J59" s="269">
        <f t="shared" si="5"/>
        <v>-0.14814466220224887</v>
      </c>
      <c r="K59" s="9"/>
      <c r="Q59" s="387"/>
      <c r="R59" s="144" t="s">
        <v>65</v>
      </c>
      <c r="T59" s="145">
        <f>SUM(E59,E63)</f>
        <v>1437.4071423264288</v>
      </c>
      <c r="U59" s="145">
        <f>SUM(F59,F63)</f>
        <v>1781.4735816784889</v>
      </c>
      <c r="V59" s="146">
        <f t="shared" si="6"/>
        <v>0.28996053802581995</v>
      </c>
      <c r="W59" s="146">
        <f t="shared" si="6"/>
        <v>0.36362420971709225</v>
      </c>
    </row>
    <row r="60" spans="2:23" s="1" customFormat="1">
      <c r="B60" s="8"/>
      <c r="C60" s="392"/>
      <c r="D60" s="274" t="s">
        <v>41</v>
      </c>
      <c r="E60" s="155">
        <f>E41-E58</f>
        <v>2961.3198502761566</v>
      </c>
      <c r="F60" s="339">
        <f>F41-F58</f>
        <v>2558.9228759101802</v>
      </c>
      <c r="G60" s="348">
        <f t="shared" si="4"/>
        <v>-0.13588433357796559</v>
      </c>
      <c r="H60" s="227">
        <f>H41-H58</f>
        <v>28924.098483161299</v>
      </c>
      <c r="I60" s="339">
        <f>I41-I58</f>
        <v>27810.409300959058</v>
      </c>
      <c r="J60" s="348">
        <f t="shared" si="5"/>
        <v>-3.8503851134741307E-2</v>
      </c>
      <c r="K60" s="9"/>
      <c r="Q60" s="387" t="s">
        <v>78</v>
      </c>
      <c r="R60" s="144" t="s">
        <v>66</v>
      </c>
      <c r="T60" s="145">
        <f>E58</f>
        <v>234.72636999750014</v>
      </c>
      <c r="U60" s="145">
        <f>F58</f>
        <v>231.41479590500003</v>
      </c>
      <c r="V60" s="146">
        <f t="shared" si="6"/>
        <v>4.7350108768185309E-2</v>
      </c>
      <c r="W60" s="146">
        <f t="shared" si="6"/>
        <v>4.7235066039269753E-2</v>
      </c>
    </row>
    <row r="61" spans="2:23" s="1" customFormat="1">
      <c r="B61" s="8"/>
      <c r="C61" s="379" t="s">
        <v>64</v>
      </c>
      <c r="D61" s="380"/>
      <c r="E61" s="188">
        <f>SUM(E62:E64)</f>
        <v>239.9528673264285</v>
      </c>
      <c r="F61" s="338">
        <f>SUM(F62:F64)</f>
        <v>196.753130876706</v>
      </c>
      <c r="G61" s="189">
        <f t="shared" si="4"/>
        <v>-0.18003425810683982</v>
      </c>
      <c r="H61" s="226">
        <f>SUM(H62:H64)</f>
        <v>2519.912164073015</v>
      </c>
      <c r="I61" s="338">
        <f>SUM(I62:I64)</f>
        <v>2091.7711660037867</v>
      </c>
      <c r="J61" s="189">
        <f t="shared" si="5"/>
        <v>-0.16990314351957814</v>
      </c>
      <c r="K61" s="9"/>
      <c r="Q61" s="387"/>
      <c r="R61" s="144" t="s">
        <v>89</v>
      </c>
      <c r="T61" s="145">
        <f>E57+E62</f>
        <v>257.388102</v>
      </c>
      <c r="U61" s="145">
        <f>F57+F62</f>
        <v>272.3139673382874</v>
      </c>
      <c r="V61" s="146">
        <f t="shared" si="6"/>
        <v>5.1921540070110447E-2</v>
      </c>
      <c r="W61" s="146">
        <f t="shared" si="6"/>
        <v>5.5583171250294432E-2</v>
      </c>
    </row>
    <row r="62" spans="2:23" s="1" customFormat="1">
      <c r="B62" s="8"/>
      <c r="C62" s="302" t="s">
        <v>78</v>
      </c>
      <c r="D62" s="303" t="s">
        <v>112</v>
      </c>
      <c r="E62" s="376">
        <v>22.427789999999998</v>
      </c>
      <c r="F62" s="377">
        <v>25.107929686821684</v>
      </c>
      <c r="G62" s="304">
        <f t="shared" si="4"/>
        <v>0.11950083743523932</v>
      </c>
      <c r="H62" s="378">
        <v>231.72829747</v>
      </c>
      <c r="I62" s="377">
        <v>233.44488248682168</v>
      </c>
      <c r="J62" s="304">
        <f t="shared" si="5"/>
        <v>7.4077487970320988E-3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95" t="s">
        <v>80</v>
      </c>
      <c r="D63" s="273" t="s">
        <v>81</v>
      </c>
      <c r="E63" s="155">
        <f>E47-E62</f>
        <v>151.11562732642852</v>
      </c>
      <c r="F63" s="339">
        <f>F47-F62</f>
        <v>116.55432454440665</v>
      </c>
      <c r="G63" s="269">
        <f t="shared" ref="G63" si="7">((F63/E63)-1)</f>
        <v>-0.2287076683827356</v>
      </c>
      <c r="H63" s="227">
        <f>H47-H62</f>
        <v>1595.3067997214603</v>
      </c>
      <c r="I63" s="339">
        <f>I47-I62</f>
        <v>1246.097724052923</v>
      </c>
      <c r="J63" s="269">
        <f t="shared" ref="J63" si="8">((I63/H63)-1)</f>
        <v>-0.21889775416835744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96"/>
      <c r="D64" s="275" t="s">
        <v>41</v>
      </c>
      <c r="E64" s="359">
        <f>E46</f>
        <v>66.409449999999993</v>
      </c>
      <c r="F64" s="360">
        <f>F46</f>
        <v>55.090876645477678</v>
      </c>
      <c r="G64" s="290">
        <f t="shared" si="4"/>
        <v>-0.17043618573143304</v>
      </c>
      <c r="H64" s="228">
        <f>H46</f>
        <v>692.8770668815547</v>
      </c>
      <c r="I64" s="314">
        <f>I46</f>
        <v>612.22855946404206</v>
      </c>
      <c r="J64" s="159">
        <f t="shared" si="5"/>
        <v>-0.11639656047571167</v>
      </c>
      <c r="K64" s="9"/>
      <c r="Q64" s="144"/>
      <c r="R64" s="144"/>
      <c r="T64" s="145">
        <f>SUM(T58:T61)</f>
        <v>4957.2509146000857</v>
      </c>
      <c r="U64" s="145">
        <f>SUM(U58:U61)</f>
        <v>4899.2160974774342</v>
      </c>
      <c r="V64" s="144"/>
      <c r="W64" s="144"/>
    </row>
    <row r="65" spans="2:22" s="1" customFormat="1" ht="14.25" thickTop="1" thickBot="1">
      <c r="B65" s="8"/>
      <c r="C65" s="381" t="s">
        <v>106</v>
      </c>
      <c r="D65" s="382"/>
      <c r="E65" s="190">
        <f>SUM(E56,E61)</f>
        <v>4957.2509146000857</v>
      </c>
      <c r="F65" s="341">
        <f>SUM(F56,F61)</f>
        <v>4899.2160974774333</v>
      </c>
      <c r="G65" s="191">
        <f t="shared" si="4"/>
        <v>-1.1707056617152101E-2</v>
      </c>
      <c r="H65" s="229">
        <f>SUM(H56,H61)</f>
        <v>56968.504119371806</v>
      </c>
      <c r="I65" s="341">
        <f>SUM(I56,I61)</f>
        <v>52713.493148334077</v>
      </c>
      <c r="J65" s="191">
        <f t="shared" si="5"/>
        <v>-7.4690586260116265E-2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56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64" zoomScaleNormal="100" zoomScaleSheetLayoutView="100" workbookViewId="0">
      <selection activeCell="I24" sqref="I24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122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2845.428548460658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1723.5177726853321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57.696995123063971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51.329200955787371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147.32812104249999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73.65664534000004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76">
        <f t="shared" si="0"/>
        <v>0.25881387009323348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4899.2160974774342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08"/>
      <c r="G23" s="255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117</v>
      </c>
      <c r="D24" s="9"/>
      <c r="E24" s="13"/>
      <c r="F24" s="13"/>
      <c r="G24" s="13"/>
      <c r="H24" s="26"/>
      <c r="I24" s="26"/>
      <c r="J24" s="291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2" t="s">
        <v>61</v>
      </c>
      <c r="D26" s="399" t="s">
        <v>126</v>
      </c>
      <c r="E26" s="399"/>
      <c r="F26" s="400" t="s">
        <v>74</v>
      </c>
      <c r="G26" s="402" t="s">
        <v>127</v>
      </c>
      <c r="H26" s="403"/>
      <c r="I26" s="400" t="s">
        <v>74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3"/>
      <c r="D27" s="95">
        <v>2019</v>
      </c>
      <c r="E27" s="96">
        <v>2020</v>
      </c>
      <c r="F27" s="401"/>
      <c r="G27" s="231">
        <v>2019</v>
      </c>
      <c r="H27" s="96">
        <v>2020</v>
      </c>
      <c r="I27" s="401"/>
      <c r="J27" s="20"/>
      <c r="K27" s="54"/>
      <c r="L27" s="54"/>
      <c r="M27" s="55" t="s">
        <v>85</v>
      </c>
      <c r="N27" s="70">
        <f t="shared" ref="N27:O29" si="1">D28</f>
        <v>3262.4556702736568</v>
      </c>
      <c r="O27" s="70">
        <f t="shared" si="1"/>
        <v>2845.428548460658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3262.4556702736568</v>
      </c>
      <c r="E28" s="165">
        <f>'Resumen (G)'!F41+'Resumen (G)'!F46</f>
        <v>2845.428548460658</v>
      </c>
      <c r="F28" s="166">
        <f>+E28/D28-1</f>
        <v>-0.12782614201100184</v>
      </c>
      <c r="G28" s="245">
        <f>'Resumen (G)'!H41+'Resumen (G)'!H46</f>
        <v>31462.088384782855</v>
      </c>
      <c r="H28" s="165">
        <f>'Resumen (G)'!I41+'Resumen (G)'!I46</f>
        <v>30507.691888705602</v>
      </c>
      <c r="I28" s="166">
        <f>+H28/G28-1</f>
        <v>-3.0334810722191685E-2</v>
      </c>
      <c r="J28" s="291"/>
      <c r="K28" s="54"/>
      <c r="L28" s="54"/>
      <c r="M28" s="55" t="s">
        <v>2</v>
      </c>
      <c r="N28" s="70">
        <f t="shared" si="1"/>
        <v>1318.8198799999998</v>
      </c>
      <c r="O28" s="70">
        <f t="shared" si="1"/>
        <v>1723.5177726853321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1318.8198799999998</v>
      </c>
      <c r="E29" s="169">
        <v>1723.5177726853321</v>
      </c>
      <c r="F29" s="170">
        <f t="shared" ref="F29:F35" si="2">+E29/D29-1</f>
        <v>0.30686365804959848</v>
      </c>
      <c r="G29" s="246">
        <v>21031.7012323975</v>
      </c>
      <c r="H29" s="169">
        <v>18067.617891710612</v>
      </c>
      <c r="I29" s="170">
        <f t="shared" ref="I29:I35" si="3">+H29/G29-1</f>
        <v>-0.14093407413571357</v>
      </c>
      <c r="J29" s="253"/>
      <c r="K29" s="254"/>
      <c r="L29" s="54"/>
      <c r="M29" s="55" t="s">
        <v>84</v>
      </c>
      <c r="N29" s="70">
        <f t="shared" si="1"/>
        <v>118.23726232642912</v>
      </c>
      <c r="O29" s="70">
        <f t="shared" si="1"/>
        <v>57.696995123063971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118.23726232642912</v>
      </c>
      <c r="E30" s="169">
        <f>'Resumen (G)'!F32-SUM('TipoRecurso (G)'!E28:E29,'TipoRecurso (G)'!E31:E34)</f>
        <v>57.696995123063971</v>
      </c>
      <c r="F30" s="170">
        <f t="shared" si="2"/>
        <v>-0.51202358725310926</v>
      </c>
      <c r="G30" s="246">
        <f>'Resumen (G)'!H32-SUM('TipoRecurso (G)'!G28:G29,'TipoRecurso (G)'!G31:G34)</f>
        <v>1508.923120566149</v>
      </c>
      <c r="H30" s="169">
        <f>'Resumen (G)'!I32-SUM('TipoRecurso (G)'!H28:H29,'TipoRecurso (G)'!H31:H34)</f>
        <v>1022.0068806994968</v>
      </c>
      <c r="I30" s="170">
        <f t="shared" si="3"/>
        <v>-0.32269121814765545</v>
      </c>
      <c r="J30" s="291"/>
      <c r="K30" s="54"/>
      <c r="L30" s="54"/>
      <c r="M30" s="55" t="s">
        <v>4</v>
      </c>
      <c r="N30" s="99">
        <f>D34</f>
        <v>0.35</v>
      </c>
      <c r="O30" s="99">
        <f>E34</f>
        <v>0.25881387009323348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46.95107999999999</v>
      </c>
      <c r="E31" s="169">
        <f>'Resumen (G)'!F57+'Resumen (G)'!F62-SUM('TipoRecurso (G)'!E32:E33)</f>
        <v>51.329200955787371</v>
      </c>
      <c r="F31" s="170">
        <f t="shared" si="2"/>
        <v>9.3248567568358087E-2</v>
      </c>
      <c r="G31" s="246">
        <f>'Resumen (G)'!H57+'Resumen (G)'!H62-SUM('TipoRecurso (G)'!G32:G33)</f>
        <v>543.16329547000032</v>
      </c>
      <c r="H31" s="169">
        <f>'Resumen (G)'!I57+'Resumen (G)'!I62-SUM('TipoRecurso (G)'!H32:H33)</f>
        <v>531.103057935788</v>
      </c>
      <c r="I31" s="170">
        <f t="shared" si="3"/>
        <v>-2.2203704916725964E-2</v>
      </c>
      <c r="J31" s="20"/>
      <c r="K31" s="54"/>
      <c r="L31" s="54"/>
      <c r="M31" s="55" t="s">
        <v>90</v>
      </c>
      <c r="N31" s="70">
        <f t="shared" ref="N31:O33" si="4">D31</f>
        <v>46.95107999999999</v>
      </c>
      <c r="O31" s="70">
        <f t="shared" si="4"/>
        <v>51.329200955787371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131.848297</v>
      </c>
      <c r="E32" s="169">
        <f>'Resumen (G)'!F43</f>
        <v>147.32812104249999</v>
      </c>
      <c r="F32" s="170">
        <f t="shared" si="2"/>
        <v>0.11740632525955186</v>
      </c>
      <c r="G32" s="246">
        <f>'Resumen (G)'!H43</f>
        <v>1655.0389920000002</v>
      </c>
      <c r="H32" s="169">
        <f>'Resumen (G)'!I43</f>
        <v>1804.4223259149999</v>
      </c>
      <c r="I32" s="170">
        <f t="shared" si="3"/>
        <v>9.0259706651672378E-2</v>
      </c>
      <c r="J32" s="20"/>
      <c r="K32" s="54"/>
      <c r="L32" s="54"/>
      <c r="M32" s="55" t="s">
        <v>14</v>
      </c>
      <c r="N32" s="70">
        <f t="shared" si="4"/>
        <v>131.848297</v>
      </c>
      <c r="O32" s="70">
        <f t="shared" si="4"/>
        <v>147.32812104249999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78.588724999999997</v>
      </c>
      <c r="E33" s="169">
        <f>'Resumen (G)'!F44</f>
        <v>73.65664534000004</v>
      </c>
      <c r="F33" s="170">
        <f t="shared" si="2"/>
        <v>-6.275810760385736E-2</v>
      </c>
      <c r="G33" s="246">
        <f>'Resumen (G)'!H44</f>
        <v>763.058627</v>
      </c>
      <c r="H33" s="169">
        <f>'Resumen (G)'!I44</f>
        <v>777.93828949750014</v>
      </c>
      <c r="I33" s="170">
        <f t="shared" si="3"/>
        <v>1.9500025254940434E-2</v>
      </c>
      <c r="J33" s="20"/>
      <c r="K33" s="54"/>
      <c r="L33" s="54"/>
      <c r="M33" s="55" t="s">
        <v>5</v>
      </c>
      <c r="N33" s="70">
        <f t="shared" si="4"/>
        <v>78.588724999999997</v>
      </c>
      <c r="O33" s="70">
        <f t="shared" si="4"/>
        <v>73.65664534000004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0.35</v>
      </c>
      <c r="E34" s="173">
        <v>0.25881387009323348</v>
      </c>
      <c r="F34" s="174">
        <f t="shared" si="2"/>
        <v>-0.26053179973361862</v>
      </c>
      <c r="G34" s="247">
        <v>4.5304671552959999</v>
      </c>
      <c r="H34" s="173">
        <v>2.7128138700932336</v>
      </c>
      <c r="I34" s="174">
        <f t="shared" si="3"/>
        <v>-0.40120659148317106</v>
      </c>
      <c r="J34" s="20"/>
      <c r="K34" s="54"/>
      <c r="L34" s="54"/>
      <c r="M34" s="97"/>
      <c r="N34" s="98">
        <f>SUM(N27:N33)</f>
        <v>4957.2509146000848</v>
      </c>
      <c r="O34" s="98">
        <f>SUM(O27:O33)</f>
        <v>4899.2160974774342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4" t="s">
        <v>106</v>
      </c>
      <c r="D35" s="295">
        <f>SUM(D28:D34)</f>
        <v>4957.2509146000848</v>
      </c>
      <c r="E35" s="296">
        <f>SUM(E28:E34)</f>
        <v>4899.2160974774342</v>
      </c>
      <c r="F35" s="297">
        <f t="shared" si="2"/>
        <v>-1.1707056617151768E-2</v>
      </c>
      <c r="G35" s="298">
        <f>SUM(G28:G34)</f>
        <v>56968.504119371806</v>
      </c>
      <c r="H35" s="296">
        <f>SUM(H28:H34)</f>
        <v>52713.493148334092</v>
      </c>
      <c r="I35" s="299">
        <f t="shared" si="3"/>
        <v>-7.4690586260116043E-2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0"/>
      <c r="N39" s="22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0">
        <f t="shared" ref="M40:N46" si="5">N27/N$34</f>
        <v>0.6581179219040697</v>
      </c>
      <c r="N40" s="220">
        <f t="shared" si="5"/>
        <v>0.58079261903261337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0">
        <f t="shared" si="5"/>
        <v>0.26603855699856027</v>
      </c>
      <c r="N41" s="220">
        <f t="shared" si="5"/>
        <v>0.35179460109399074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0">
        <f t="shared" si="5"/>
        <v>2.3851377378981763E-2</v>
      </c>
      <c r="N42" s="220">
        <f t="shared" si="5"/>
        <v>1.1776781014573265E-2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0">
        <f t="shared" si="5"/>
        <v>7.0603648277955977E-5</v>
      </c>
      <c r="N43" s="220">
        <f t="shared" si="5"/>
        <v>5.2827608528330605E-5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0">
        <f t="shared" si="5"/>
        <v>9.4711929674004946E-3</v>
      </c>
      <c r="N44" s="220">
        <f t="shared" si="5"/>
        <v>1.0477023249130886E-2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0">
        <f t="shared" si="5"/>
        <v>2.6597059392672796E-2</v>
      </c>
      <c r="N45" s="220">
        <f t="shared" si="5"/>
        <v>3.0071774363730968E-2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0">
        <f t="shared" si="5"/>
        <v>1.5853287710037162E-2</v>
      </c>
      <c r="N46" s="220">
        <f t="shared" si="5"/>
        <v>1.5034373637432576E-2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0">
        <f>N34/N$34</f>
        <v>1</v>
      </c>
      <c r="N47" s="22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1">
        <f>SUM(M39:M46)</f>
        <v>1.0000000000000002</v>
      </c>
      <c r="N49" s="221">
        <f>SUM(N39:N46)</f>
        <v>1.0000000000000002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118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7" t="s">
        <v>91</v>
      </c>
      <c r="D53" s="399" t="s">
        <v>126</v>
      </c>
      <c r="E53" s="399"/>
      <c r="F53" s="400" t="s">
        <v>74</v>
      </c>
      <c r="G53" s="402" t="s">
        <v>127</v>
      </c>
      <c r="H53" s="403"/>
      <c r="I53" s="400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8"/>
      <c r="D54" s="95">
        <v>2019</v>
      </c>
      <c r="E54" s="96">
        <v>2020</v>
      </c>
      <c r="F54" s="401"/>
      <c r="G54" s="231">
        <v>2019</v>
      </c>
      <c r="H54" s="96">
        <v>2020</v>
      </c>
      <c r="I54" s="401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1" t="s">
        <v>42</v>
      </c>
      <c r="D55" s="282">
        <f>SUM(D28:D30,D34)</f>
        <v>4699.8628126000858</v>
      </c>
      <c r="E55" s="283">
        <f>SUM(E28:E30,E34)</f>
        <v>4626.9021301391467</v>
      </c>
      <c r="F55" s="166">
        <f>+E55/D55-1</f>
        <v>-1.5524002586912777E-2</v>
      </c>
      <c r="G55" s="284">
        <f>SUM(G28:G30,G34)</f>
        <v>54007.243204901803</v>
      </c>
      <c r="H55" s="283">
        <f>SUM(H28:H30,H34)</f>
        <v>49600.0294749858</v>
      </c>
      <c r="I55" s="166">
        <f>+H55/G55-1</f>
        <v>-8.1604123232048131E-2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5" t="s">
        <v>123</v>
      </c>
      <c r="D56" s="286">
        <f>SUM(D31:D33)</f>
        <v>257.388102</v>
      </c>
      <c r="E56" s="287">
        <f>SUM(E31:E33)</f>
        <v>272.3139673382874</v>
      </c>
      <c r="F56" s="350">
        <f>+E56/D56-1</f>
        <v>5.7989725330378272E-2</v>
      </c>
      <c r="G56" s="288">
        <f>SUM(G31:G33)</f>
        <v>2961.2609144700004</v>
      </c>
      <c r="H56" s="287">
        <f>SUM(H31:H33)</f>
        <v>3113.463673348288</v>
      </c>
      <c r="I56" s="351">
        <f>+H56/G56-1</f>
        <v>5.1397956233629749E-2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4957.2509146000857</v>
      </c>
      <c r="E57" s="101">
        <f>SUM(E55:E56)</f>
        <v>4899.2160974774342</v>
      </c>
      <c r="F57" s="102">
        <f>+E57/D57-1</f>
        <v>-1.170705661715199E-2</v>
      </c>
      <c r="G57" s="248">
        <f>SUM(G55:G56)</f>
        <v>56968.504119371806</v>
      </c>
      <c r="H57" s="101">
        <f>SUM(H55:H56)</f>
        <v>52713.493148334092</v>
      </c>
      <c r="I57" s="102">
        <f>+H57/G57-1</f>
        <v>-7.4690586260116043E-2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5.1921540070110447E-2</v>
      </c>
      <c r="E58" s="104">
        <f>+E56/E57</f>
        <v>5.5583171250294432E-2</v>
      </c>
      <c r="F58" s="105"/>
      <c r="G58" s="249">
        <f>+G56/G57</f>
        <v>5.1980668270049254E-2</v>
      </c>
      <c r="H58" s="104">
        <f>+H56/H57</f>
        <v>5.9063884546355153E-2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57" t="s">
        <v>124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4699.8628126000858</v>
      </c>
      <c r="N63" s="76">
        <f>E55</f>
        <v>4626.9021301391467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257.388102</v>
      </c>
      <c r="N64" s="76">
        <f>E56</f>
        <v>272.3139673382874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57" t="s">
        <v>124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119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09"/>
      <c r="D76" s="399" t="s">
        <v>126</v>
      </c>
      <c r="E76" s="399"/>
      <c r="F76" s="106" t="s">
        <v>74</v>
      </c>
      <c r="G76" s="402" t="s">
        <v>127</v>
      </c>
      <c r="H76" s="403"/>
      <c r="I76" s="218" t="s">
        <v>74</v>
      </c>
      <c r="J76" s="19"/>
      <c r="K76" s="57"/>
      <c r="L76" s="57"/>
      <c r="M76" s="55" t="s">
        <v>96</v>
      </c>
      <c r="N76" s="70">
        <f>D78</f>
        <v>0.92509278500000003</v>
      </c>
      <c r="O76" s="70">
        <f>E78</f>
        <v>39.180447707499994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2019</v>
      </c>
      <c r="E77" s="223">
        <v>2020</v>
      </c>
      <c r="F77" s="107"/>
      <c r="G77" s="328">
        <v>2019</v>
      </c>
      <c r="H77" s="96">
        <v>2020</v>
      </c>
      <c r="I77" s="219"/>
      <c r="J77" s="19"/>
      <c r="K77" s="57"/>
      <c r="L77" s="57"/>
      <c r="M77" s="55" t="s">
        <v>97</v>
      </c>
      <c r="N77" s="70">
        <f>D79</f>
        <v>4716.3729544886564</v>
      </c>
      <c r="O77" s="70">
        <f>E79</f>
        <v>4663.2825188932284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09" t="s">
        <v>96</v>
      </c>
      <c r="D78" s="362">
        <v>0.92509278500000003</v>
      </c>
      <c r="E78" s="361">
        <v>39.180447707499994</v>
      </c>
      <c r="F78" s="156">
        <f>((E78/D78)-1)</f>
        <v>41.352992416322856</v>
      </c>
      <c r="G78" s="227">
        <v>192.56690263249999</v>
      </c>
      <c r="H78" s="316">
        <v>81.67853968499999</v>
      </c>
      <c r="I78" s="156">
        <f>((H78/G78)-1)</f>
        <v>-0.57584331176122427</v>
      </c>
      <c r="J78" s="19"/>
      <c r="K78" s="252"/>
      <c r="L78" s="57"/>
    </row>
    <row r="79" spans="2:28" ht="16.5" customHeight="1" thickBot="1">
      <c r="C79" s="289" t="s">
        <v>97</v>
      </c>
      <c r="D79" s="158">
        <f>'Resumen (G)'!E40-D78</f>
        <v>4716.3729544886564</v>
      </c>
      <c r="E79" s="314">
        <f>'Resumen (G)'!F40-E78</f>
        <v>4663.2825188932284</v>
      </c>
      <c r="F79" s="159">
        <f>((E79/D79)-1)</f>
        <v>-1.1256623703793545E-2</v>
      </c>
      <c r="G79" s="228">
        <f>'Resumen (G)'!H40-G78</f>
        <v>54256.0250526663</v>
      </c>
      <c r="H79" s="314">
        <f>'Resumen (G)'!I40-H78</f>
        <v>50540.043442645285</v>
      </c>
      <c r="I79" s="159">
        <f>((H79/G79)-1)</f>
        <v>-6.8489750334896682E-2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2">
        <f>SUM(D78:D79)</f>
        <v>4717.2980472736563</v>
      </c>
      <c r="E80" s="315">
        <f>SUM(E78:E79)</f>
        <v>4702.4629666007286</v>
      </c>
      <c r="F80" s="128"/>
      <c r="G80" s="250">
        <f>SUM(G78:G79)</f>
        <v>54448.591955298798</v>
      </c>
      <c r="H80" s="315">
        <f>SUM(H78:H79)</f>
        <v>50621.721982330288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zoomScale="80" zoomScaleNormal="100" zoomScaleSheetLayoutView="80" workbookViewId="0">
      <selection activeCell="D55" sqref="D55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120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1" t="s">
        <v>44</v>
      </c>
      <c r="D8" s="411" t="s">
        <v>126</v>
      </c>
      <c r="E8" s="412"/>
      <c r="F8" s="400" t="s">
        <v>74</v>
      </c>
      <c r="G8" s="402" t="s">
        <v>127</v>
      </c>
      <c r="H8" s="403"/>
      <c r="I8" s="400" t="s">
        <v>74</v>
      </c>
      <c r="J8" s="26"/>
    </row>
    <row r="9" spans="2:13" s="1" customFormat="1" ht="13.5" customHeight="1">
      <c r="B9" s="19"/>
      <c r="C9" s="202"/>
      <c r="D9" s="110">
        <v>2019</v>
      </c>
      <c r="E9" s="96">
        <v>2020</v>
      </c>
      <c r="F9" s="401"/>
      <c r="G9" s="231">
        <v>2019</v>
      </c>
      <c r="H9" s="96">
        <v>2020</v>
      </c>
      <c r="I9" s="401"/>
      <c r="J9" s="26"/>
    </row>
    <row r="10" spans="2:13">
      <c r="C10" s="192" t="s">
        <v>10</v>
      </c>
      <c r="D10" s="193">
        <f>'Por Región (G)'!O8</f>
        <v>335.56494893602564</v>
      </c>
      <c r="E10" s="194">
        <f>'Por Región (G)'!P8</f>
        <v>361.22050102033961</v>
      </c>
      <c r="F10" s="352">
        <f>+E10/D10-1</f>
        <v>7.6454803058721987E-2</v>
      </c>
      <c r="G10" s="324">
        <f>'Por Región (G)'!Q8</f>
        <v>3515.080558471413</v>
      </c>
      <c r="H10" s="194">
        <f>'Por Región (G)'!R8</f>
        <v>3370.0683627941712</v>
      </c>
      <c r="I10" s="352">
        <f>+H10/G10-1</f>
        <v>-4.1254302217273442E-2</v>
      </c>
      <c r="J10" s="26"/>
      <c r="L10" s="144" t="s">
        <v>9</v>
      </c>
      <c r="M10" s="224">
        <f>E11</f>
        <v>3904.5974541946998</v>
      </c>
    </row>
    <row r="11" spans="2:13">
      <c r="C11" s="195" t="s">
        <v>9</v>
      </c>
      <c r="D11" s="196">
        <f>'Por Región (G)'!O9</f>
        <v>3906.5546892802272</v>
      </c>
      <c r="E11" s="197">
        <f>'Por Región (G)'!P9</f>
        <v>3904.5974541946998</v>
      </c>
      <c r="F11" s="353">
        <f>+E11/D11-1</f>
        <v>-5.0101310264472065E-4</v>
      </c>
      <c r="G11" s="325">
        <f>'Por Región (G)'!Q9</f>
        <v>45713.284403147911</v>
      </c>
      <c r="H11" s="197">
        <f>'Por Región (G)'!R9</f>
        <v>42026.391585488396</v>
      </c>
      <c r="I11" s="353">
        <f>+H11/G11-1</f>
        <v>-8.0652546973973838E-2</v>
      </c>
      <c r="J11" s="26"/>
      <c r="L11" s="144" t="s">
        <v>12</v>
      </c>
      <c r="M11" s="224">
        <f>E12</f>
        <v>589.15327555150259</v>
      </c>
    </row>
    <row r="12" spans="2:13">
      <c r="C12" s="195" t="s">
        <v>12</v>
      </c>
      <c r="D12" s="196">
        <f>'Por Región (G)'!O10</f>
        <v>631.8419666504999</v>
      </c>
      <c r="E12" s="197">
        <f>'Por Región (G)'!P10</f>
        <v>589.15327555150259</v>
      </c>
      <c r="F12" s="353">
        <f>+E12/D12-1</f>
        <v>-6.7562291446541911E-2</v>
      </c>
      <c r="G12" s="325">
        <f>'Por Región (G)'!Q10</f>
        <v>6880.0232079525103</v>
      </c>
      <c r="H12" s="197">
        <f>'Por Región (G)'!R10</f>
        <v>6805.8875123970956</v>
      </c>
      <c r="I12" s="353">
        <f>+H12/G12-1</f>
        <v>-1.0775500796236015E-2</v>
      </c>
      <c r="J12" s="26"/>
      <c r="L12" s="144" t="s">
        <v>10</v>
      </c>
      <c r="M12" s="224">
        <f>E10</f>
        <v>361.22050102033961</v>
      </c>
    </row>
    <row r="13" spans="2:13">
      <c r="C13" s="198" t="s">
        <v>11</v>
      </c>
      <c r="D13" s="199">
        <f>'Por Región (G)'!O11</f>
        <v>83.289309733333297</v>
      </c>
      <c r="E13" s="200">
        <f>'Por Región (G)'!P11</f>
        <v>44.244866710891749</v>
      </c>
      <c r="F13" s="354">
        <f>+E13/D13-1</f>
        <v>-0.46878096537778768</v>
      </c>
      <c r="G13" s="326">
        <f>'Por Región (G)'!Q11</f>
        <v>860.11594979999984</v>
      </c>
      <c r="H13" s="200">
        <f>'Por Región (G)'!R11</f>
        <v>511.14568765442226</v>
      </c>
      <c r="I13" s="354">
        <f>+H13/G13-1</f>
        <v>-0.40572467261736345</v>
      </c>
      <c r="J13" s="26"/>
      <c r="L13" s="144" t="s">
        <v>11</v>
      </c>
      <c r="M13" s="224">
        <f>E13</f>
        <v>44.244866710891749</v>
      </c>
    </row>
    <row r="14" spans="2:13" ht="13.5" thickBot="1">
      <c r="C14" s="203" t="s">
        <v>106</v>
      </c>
      <c r="D14" s="204">
        <f>SUM(D10:D13)</f>
        <v>4957.2509146000857</v>
      </c>
      <c r="E14" s="205">
        <f>SUM(E10:E13)</f>
        <v>4899.2160974774342</v>
      </c>
      <c r="F14" s="206">
        <f>+E14/D14-1</f>
        <v>-1.170705661715199E-2</v>
      </c>
      <c r="G14" s="327">
        <f>SUM(G10:G13)</f>
        <v>56968.504119371828</v>
      </c>
      <c r="H14" s="205">
        <f>SUM(H10:H13)</f>
        <v>52713.493148334084</v>
      </c>
      <c r="I14" s="206">
        <f>+H14/G14-1</f>
        <v>-7.4690586260116487E-2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8" t="s">
        <v>93</v>
      </c>
      <c r="D18" s="408"/>
      <c r="E18" s="408"/>
      <c r="F18" s="408"/>
      <c r="G18" s="409" t="s">
        <v>105</v>
      </c>
      <c r="H18" s="410"/>
      <c r="I18" s="410"/>
      <c r="J18" s="410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20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07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404" t="s">
        <v>13</v>
      </c>
      <c r="D54" s="406" t="s">
        <v>131</v>
      </c>
      <c r="E54" s="407"/>
      <c r="F54" s="407"/>
      <c r="G54" s="407"/>
      <c r="H54" s="407"/>
      <c r="I54" s="19"/>
      <c r="J54" s="19"/>
    </row>
    <row r="55" spans="3:13">
      <c r="C55" s="405"/>
      <c r="D55" s="113" t="s">
        <v>14</v>
      </c>
      <c r="E55" s="332" t="s">
        <v>15</v>
      </c>
      <c r="F55" s="332" t="s">
        <v>5</v>
      </c>
      <c r="G55" s="114" t="s">
        <v>16</v>
      </c>
      <c r="H55" s="343" t="s">
        <v>71</v>
      </c>
      <c r="I55" s="19"/>
      <c r="J55" s="19"/>
    </row>
    <row r="56" spans="3:13">
      <c r="C56" s="208" t="s">
        <v>10</v>
      </c>
      <c r="D56" s="321">
        <f>'Resumen (G)'!F14-'PorZona (G)'!D58</f>
        <v>75.065594805000018</v>
      </c>
      <c r="E56" s="333">
        <v>89.432634958292766</v>
      </c>
      <c r="F56" s="333">
        <v>0</v>
      </c>
      <c r="G56" s="212">
        <v>196.72227125704683</v>
      </c>
      <c r="H56" s="344">
        <f>SUM(D56:G56)</f>
        <v>361.22050102033961</v>
      </c>
      <c r="I56" s="318"/>
      <c r="K56" s="300"/>
      <c r="L56" s="313"/>
      <c r="M56" s="349"/>
    </row>
    <row r="57" spans="3:13">
      <c r="C57" s="209" t="s">
        <v>9</v>
      </c>
      <c r="D57" s="322">
        <v>0</v>
      </c>
      <c r="E57" s="365">
        <v>2316.6454034289027</v>
      </c>
      <c r="F57" s="366">
        <v>6.4619999999999999E-3</v>
      </c>
      <c r="G57" s="213">
        <v>1587.9455887657973</v>
      </c>
      <c r="H57" s="345">
        <f>SUM(D57:G57)</f>
        <v>3904.5974541946998</v>
      </c>
      <c r="I57" s="318"/>
      <c r="K57" s="300"/>
      <c r="L57" s="313"/>
      <c r="M57" s="349"/>
    </row>
    <row r="58" spans="3:13">
      <c r="C58" s="209" t="s">
        <v>12</v>
      </c>
      <c r="D58" s="322">
        <v>72.262526237499969</v>
      </c>
      <c r="E58" s="334">
        <v>439.35051007346402</v>
      </c>
      <c r="F58" s="334">
        <f>'Resumen (G)'!D15-F57</f>
        <v>73.650183340000041</v>
      </c>
      <c r="G58" s="213">
        <v>3.8900559005385276</v>
      </c>
      <c r="H58" s="345">
        <f>SUM(D58:G58)</f>
        <v>589.15327555150259</v>
      </c>
      <c r="I58" s="318"/>
      <c r="K58" s="300"/>
      <c r="L58" s="313"/>
      <c r="M58" s="349"/>
    </row>
    <row r="59" spans="3:13">
      <c r="C59" s="210" t="s">
        <v>11</v>
      </c>
      <c r="D59" s="323">
        <v>0</v>
      </c>
      <c r="E59" s="335">
        <v>0</v>
      </c>
      <c r="F59" s="335">
        <v>0</v>
      </c>
      <c r="G59" s="214">
        <f>E13</f>
        <v>44.244866710891749</v>
      </c>
      <c r="H59" s="346">
        <f>SUM(D59:G59)</f>
        <v>44.244866710891749</v>
      </c>
      <c r="I59" s="318"/>
      <c r="K59" s="19"/>
      <c r="L59" s="313"/>
      <c r="M59" s="313"/>
    </row>
    <row r="60" spans="3:13" ht="13.5" thickBot="1">
      <c r="C60" s="115" t="s">
        <v>106</v>
      </c>
      <c r="D60" s="215">
        <f>SUM(D56:D59)</f>
        <v>147.32812104249999</v>
      </c>
      <c r="E60" s="336">
        <f>SUM(E56:E59)</f>
        <v>2845.4285484606598</v>
      </c>
      <c r="F60" s="336">
        <f>SUM(F56:F59)</f>
        <v>73.65664534000004</v>
      </c>
      <c r="G60" s="216">
        <f>SUM(G56:G59)</f>
        <v>1832.8027826342745</v>
      </c>
      <c r="H60" s="347">
        <f>SUM(H56:H59)</f>
        <v>4899.2160974774342</v>
      </c>
      <c r="I60" s="19"/>
      <c r="J60" s="19"/>
      <c r="M60" s="313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300"/>
      <c r="G63" s="19"/>
      <c r="H63" s="19"/>
      <c r="I63" s="19"/>
      <c r="J63" s="19"/>
    </row>
    <row r="64" spans="3:13">
      <c r="F64" s="300"/>
      <c r="H64" s="121"/>
    </row>
    <row r="65" spans="5:6">
      <c r="F65" s="300"/>
    </row>
    <row r="67" spans="5:6">
      <c r="E67" s="319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28" zoomScale="70" zoomScaleNormal="100" zoomScaleSheetLayoutView="70" workbookViewId="0">
      <selection activeCell="J9" sqref="J9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11" t="s">
        <v>126</v>
      </c>
      <c r="E6" s="412"/>
      <c r="F6" s="400" t="s">
        <v>74</v>
      </c>
      <c r="G6" s="402" t="s">
        <v>127</v>
      </c>
      <c r="H6" s="403"/>
      <c r="I6" s="400" t="s">
        <v>74</v>
      </c>
      <c r="O6" s="47"/>
      <c r="P6" s="86"/>
      <c r="Q6" s="413" t="s">
        <v>114</v>
      </c>
      <c r="R6" s="413"/>
    </row>
    <row r="7" spans="3:19" ht="12.75" customHeight="1">
      <c r="C7" s="109"/>
      <c r="D7" s="110">
        <v>2019</v>
      </c>
      <c r="E7" s="96">
        <v>2020</v>
      </c>
      <c r="F7" s="401"/>
      <c r="G7" s="231">
        <v>2019</v>
      </c>
      <c r="H7" s="96">
        <v>2020</v>
      </c>
      <c r="I7" s="401"/>
      <c r="N7" s="54"/>
      <c r="O7" s="310">
        <v>2019</v>
      </c>
      <c r="P7" s="312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367">
        <v>3.0376049999999997</v>
      </c>
      <c r="E8" s="368">
        <v>2.9702170842386653</v>
      </c>
      <c r="F8" s="369">
        <f>+E8/D8-1</f>
        <v>-2.2184555187832022E-2</v>
      </c>
      <c r="G8" s="232">
        <v>53.088641999999993</v>
      </c>
      <c r="H8" s="277">
        <v>36.843620979720519</v>
      </c>
      <c r="I8" s="355">
        <f>+H8/G8-1</f>
        <v>-0.30599805171658889</v>
      </c>
      <c r="J8" s="26"/>
      <c r="K8" s="46"/>
      <c r="L8" s="46"/>
      <c r="N8" s="57" t="s">
        <v>10</v>
      </c>
      <c r="O8" s="71">
        <f>SUM(D8,D13,D20,D21,D27,D29,D31)</f>
        <v>335.56494893602564</v>
      </c>
      <c r="P8" s="71">
        <f t="shared" ref="P8" si="0">SUM(E8,E13,E20,E21,E27,E29,E31)</f>
        <v>361.22050102033961</v>
      </c>
      <c r="Q8" s="71">
        <f>SUM(G8,G13,G20,G21,G27,G29,G31)</f>
        <v>3515.080558471413</v>
      </c>
      <c r="R8" s="71">
        <f>SUM(H8,H13,H20,H21,H27,H29,H31)</f>
        <v>3370.0683627941712</v>
      </c>
    </row>
    <row r="9" spans="3:19" ht="20.100000000000001" customHeight="1">
      <c r="C9" s="118" t="s">
        <v>18</v>
      </c>
      <c r="D9" s="217">
        <v>269.80465169999991</v>
      </c>
      <c r="E9" s="278">
        <v>275.56403388993351</v>
      </c>
      <c r="F9" s="356">
        <f t="shared" ref="F9:F32" si="1">+E9/D9-1</f>
        <v>2.1346489594024964E-2</v>
      </c>
      <c r="G9" s="233">
        <v>2264.8765923999999</v>
      </c>
      <c r="H9" s="278">
        <v>2184.0439264966808</v>
      </c>
      <c r="I9" s="357">
        <f t="shared" ref="I9:I32" si="2">+H9/G9-1</f>
        <v>-3.5689655751911853E-2</v>
      </c>
      <c r="J9" s="26"/>
      <c r="K9" s="46"/>
      <c r="L9" s="46"/>
      <c r="N9" s="57" t="s">
        <v>9</v>
      </c>
      <c r="O9" s="310">
        <f>SUM(D9,D14,D16,D17,D19,D22,D26,D32)</f>
        <v>3906.5546892802272</v>
      </c>
      <c r="P9" s="310">
        <f>SUM(E9,E14,E16,E17,E19,E22,E26,E32)</f>
        <v>3904.5974541946998</v>
      </c>
      <c r="Q9" s="310">
        <f>SUM(G9,G14,G16,G17,G19,G22,G26,G32)</f>
        <v>45713.284403147911</v>
      </c>
      <c r="R9" s="310">
        <f>SUM(H9,H14,H16,H17,H19,H22,H26,H32)</f>
        <v>42026.391585488396</v>
      </c>
    </row>
    <row r="10" spans="3:19" ht="20.100000000000001" customHeight="1">
      <c r="C10" s="119" t="s">
        <v>19</v>
      </c>
      <c r="D10" s="217">
        <v>4.9041925222907174</v>
      </c>
      <c r="E10" s="278">
        <v>2.3580909999999995</v>
      </c>
      <c r="F10" s="356">
        <f t="shared" si="1"/>
        <v>-0.51916834641341736</v>
      </c>
      <c r="G10" s="233">
        <v>44.702383985062518</v>
      </c>
      <c r="H10" s="278">
        <v>43.419716175149567</v>
      </c>
      <c r="I10" s="356">
        <f t="shared" si="2"/>
        <v>-2.8693498994182498E-2</v>
      </c>
      <c r="J10" s="26"/>
      <c r="K10" s="46"/>
      <c r="L10" s="46"/>
      <c r="N10" s="54" t="s">
        <v>12</v>
      </c>
      <c r="O10" s="310">
        <f>SUM(D10,D11,D12,D15,D18,D24,D25,D28,D30)</f>
        <v>631.8419666504999</v>
      </c>
      <c r="P10" s="310">
        <f t="shared" ref="P10" si="3">SUM(E10,E11,E12,E15,E18,E24,E25,E28,E30)</f>
        <v>589.15327555150259</v>
      </c>
      <c r="Q10" s="310">
        <f>SUM(G10,G11,G12,G15,G18,G24,G25,G28,G30)</f>
        <v>6880.0232079525103</v>
      </c>
      <c r="R10" s="310">
        <f>SUM(H10,H11,H12,H15,H18,H24,H25,H28,H30)</f>
        <v>6805.8875123970956</v>
      </c>
    </row>
    <row r="11" spans="3:19" ht="20.100000000000001" customHeight="1">
      <c r="C11" s="118" t="s">
        <v>20</v>
      </c>
      <c r="D11" s="217">
        <v>95.864995451205587</v>
      </c>
      <c r="E11" s="278">
        <v>98.040159592169204</v>
      </c>
      <c r="F11" s="357">
        <f t="shared" si="1"/>
        <v>2.2689868504409016E-2</v>
      </c>
      <c r="G11" s="233">
        <v>1199.6889547152684</v>
      </c>
      <c r="H11" s="278">
        <v>1249.2612383801672</v>
      </c>
      <c r="I11" s="356">
        <f t="shared" si="2"/>
        <v>4.1320946958842475E-2</v>
      </c>
      <c r="J11" s="26"/>
      <c r="K11" s="46"/>
      <c r="L11" s="46"/>
      <c r="N11" s="311" t="s">
        <v>11</v>
      </c>
      <c r="O11" s="71">
        <f>D23</f>
        <v>83.289309733333297</v>
      </c>
      <c r="P11" s="71">
        <f t="shared" ref="P11" si="4">E23</f>
        <v>44.244866710891749</v>
      </c>
      <c r="Q11" s="71">
        <f>G23</f>
        <v>860.11594979999984</v>
      </c>
      <c r="R11" s="71">
        <f>H23</f>
        <v>511.14568765442226</v>
      </c>
    </row>
    <row r="12" spans="3:19" ht="20.100000000000001" customHeight="1">
      <c r="C12" s="118" t="s">
        <v>21</v>
      </c>
      <c r="D12" s="330">
        <v>0.79641621283700847</v>
      </c>
      <c r="E12" s="305">
        <v>0.87862533333333315</v>
      </c>
      <c r="F12" s="356">
        <f t="shared" si="1"/>
        <v>0.10322381585311757</v>
      </c>
      <c r="G12" s="233">
        <v>9.4569924646801784</v>
      </c>
      <c r="H12" s="278">
        <v>11.338807066945527</v>
      </c>
      <c r="I12" s="356">
        <f t="shared" si="2"/>
        <v>0.19898658154730686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17">
        <v>139.57130572722937</v>
      </c>
      <c r="E13" s="278">
        <v>125.73269786298604</v>
      </c>
      <c r="F13" s="356">
        <f t="shared" si="1"/>
        <v>-9.9150808915471234E-2</v>
      </c>
      <c r="G13" s="233">
        <v>1168.6212558584352</v>
      </c>
      <c r="H13" s="278">
        <v>1037.2412494283824</v>
      </c>
      <c r="I13" s="356">
        <f t="shared" si="2"/>
        <v>-0.11242308470039331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17">
        <v>206.12629546531079</v>
      </c>
      <c r="E14" s="278">
        <v>259.69380203864409</v>
      </c>
      <c r="F14" s="356">
        <f t="shared" si="1"/>
        <v>0.25987711297294536</v>
      </c>
      <c r="G14" s="233">
        <v>3300.3917609812302</v>
      </c>
      <c r="H14" s="278">
        <v>2715.9854066095631</v>
      </c>
      <c r="I14" s="356">
        <f t="shared" si="2"/>
        <v>-0.1770718134982614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17">
        <v>200.12523706666664</v>
      </c>
      <c r="E15" s="278">
        <v>198.19136519933332</v>
      </c>
      <c r="F15" s="356">
        <f t="shared" si="1"/>
        <v>-9.6633083147285026E-3</v>
      </c>
      <c r="G15" s="233">
        <v>2085.4110148</v>
      </c>
      <c r="H15" s="278">
        <v>1951.9533469481669</v>
      </c>
      <c r="I15" s="357">
        <f t="shared" si="2"/>
        <v>-6.3995858324663257E-2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17">
        <v>977.27306899999996</v>
      </c>
      <c r="E16" s="278">
        <v>813.49416042078803</v>
      </c>
      <c r="F16" s="357">
        <f t="shared" si="1"/>
        <v>-0.16758766180551721</v>
      </c>
      <c r="G16" s="233">
        <v>10278.137894285832</v>
      </c>
      <c r="H16" s="278">
        <v>10073.626955988057</v>
      </c>
      <c r="I16" s="357">
        <f t="shared" si="2"/>
        <v>-1.9897664382521496E-2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17">
        <v>329.96045044333329</v>
      </c>
      <c r="E17" s="278">
        <v>244.20855949500006</v>
      </c>
      <c r="F17" s="356">
        <f t="shared" si="1"/>
        <v>-0.25988536151262187</v>
      </c>
      <c r="G17" s="233">
        <v>2483.0950180650002</v>
      </c>
      <c r="H17" s="278">
        <v>2183.2739080921674</v>
      </c>
      <c r="I17" s="357">
        <f t="shared" si="2"/>
        <v>-0.12074492026747896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17">
        <v>122.62910506666667</v>
      </c>
      <c r="E18" s="278">
        <v>93.564035196666666</v>
      </c>
      <c r="F18" s="356">
        <f t="shared" si="1"/>
        <v>-0.23701608075993807</v>
      </c>
      <c r="G18" s="233">
        <v>1659.8842018000003</v>
      </c>
      <c r="H18" s="278">
        <v>1614.0298609624999</v>
      </c>
      <c r="I18" s="356">
        <f t="shared" si="2"/>
        <v>-2.7625023955150207E-2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17">
        <v>303.72642646666662</v>
      </c>
      <c r="E19" s="278">
        <v>242.30604783583328</v>
      </c>
      <c r="F19" s="356">
        <f t="shared" si="1"/>
        <v>-0.20222270200638637</v>
      </c>
      <c r="G19" s="233">
        <v>2951.9019475999994</v>
      </c>
      <c r="H19" s="278">
        <v>2756.6382198091665</v>
      </c>
      <c r="I19" s="357">
        <f t="shared" si="2"/>
        <v>-6.6148446410826511E-2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17">
        <v>72.033635993790895</v>
      </c>
      <c r="E20" s="278">
        <v>105.96663664604384</v>
      </c>
      <c r="F20" s="357">
        <f t="shared" si="1"/>
        <v>0.47107160681404281</v>
      </c>
      <c r="G20" s="233">
        <v>748.0673542829137</v>
      </c>
      <c r="H20" s="278">
        <v>822.16742752229914</v>
      </c>
      <c r="I20" s="356">
        <f t="shared" si="2"/>
        <v>9.9055349515173807E-2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30">
        <v>5.1313912666666672</v>
      </c>
      <c r="E21" s="305">
        <v>1.7166916000000001</v>
      </c>
      <c r="F21" s="356">
        <f t="shared" si="1"/>
        <v>-0.66545299105301781</v>
      </c>
      <c r="G21" s="233">
        <v>63.855675950000006</v>
      </c>
      <c r="H21" s="278">
        <v>56.034018978333343</v>
      </c>
      <c r="I21" s="356">
        <f t="shared" si="2"/>
        <v>-0.12248961200866693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17">
        <v>1716.6070628715831</v>
      </c>
      <c r="E22" s="278">
        <v>1989.6641572161677</v>
      </c>
      <c r="F22" s="356">
        <f t="shared" si="1"/>
        <v>0.15906790799742354</v>
      </c>
      <c r="G22" s="233">
        <v>23119.557393474468</v>
      </c>
      <c r="H22" s="278">
        <v>21149.901096150257</v>
      </c>
      <c r="I22" s="356">
        <f t="shared" si="2"/>
        <v>-8.5194377375068187E-2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17">
        <v>83.289309733333297</v>
      </c>
      <c r="E23" s="278">
        <v>44.244866710891749</v>
      </c>
      <c r="F23" s="356">
        <f t="shared" si="1"/>
        <v>-0.46878096537778768</v>
      </c>
      <c r="G23" s="233">
        <v>860.11594979999984</v>
      </c>
      <c r="H23" s="278">
        <v>511.14568765442226</v>
      </c>
      <c r="I23" s="356">
        <f t="shared" si="2"/>
        <v>-0.40572467261736345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30">
        <v>0.23525900000000002</v>
      </c>
      <c r="E24" s="278">
        <v>0.21505574916666664</v>
      </c>
      <c r="F24" s="356">
        <f t="shared" si="1"/>
        <v>-8.5876633129161384E-2</v>
      </c>
      <c r="G24" s="233">
        <v>2.0614140000000005</v>
      </c>
      <c r="H24" s="278">
        <v>6.3792807641666665</v>
      </c>
      <c r="I24" s="357">
        <f t="shared" si="2"/>
        <v>2.0946140679003173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17">
        <v>69.568980333333329</v>
      </c>
      <c r="E25" s="278">
        <v>65.547565559166671</v>
      </c>
      <c r="F25" s="357">
        <f t="shared" si="1"/>
        <v>-5.7804710589380859E-2</v>
      </c>
      <c r="G25" s="233">
        <v>708.83223799999996</v>
      </c>
      <c r="H25" s="278">
        <v>710.57146408583344</v>
      </c>
      <c r="I25" s="356">
        <f t="shared" si="2"/>
        <v>2.4536498096372483E-3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17">
        <v>99.788437999999985</v>
      </c>
      <c r="E26" s="278">
        <v>76.118227144166681</v>
      </c>
      <c r="F26" s="356">
        <f t="shared" si="1"/>
        <v>-0.23720394196202677</v>
      </c>
      <c r="G26" s="233">
        <v>970.974997341375</v>
      </c>
      <c r="H26" s="278">
        <v>868.42460115916674</v>
      </c>
      <c r="I26" s="356">
        <f t="shared" si="2"/>
        <v>-0.10561589789953529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17">
        <v>109.28903194833869</v>
      </c>
      <c r="E27" s="278">
        <v>121.09312582707108</v>
      </c>
      <c r="F27" s="357">
        <f t="shared" si="1"/>
        <v>0.1080080376621162</v>
      </c>
      <c r="G27" s="233">
        <v>1417.7770833800641</v>
      </c>
      <c r="H27" s="278">
        <v>1359.8177238854355</v>
      </c>
      <c r="I27" s="356">
        <f t="shared" si="2"/>
        <v>-4.0880445998217274E-2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17">
        <v>123.5792729975</v>
      </c>
      <c r="E28" s="278">
        <v>117.07876861416672</v>
      </c>
      <c r="F28" s="356">
        <f t="shared" si="1"/>
        <v>-5.2601898568093941E-2</v>
      </c>
      <c r="G28" s="233">
        <v>1017.4656691875</v>
      </c>
      <c r="H28" s="278">
        <v>1061.3040845391668</v>
      </c>
      <c r="I28" s="356">
        <f t="shared" si="2"/>
        <v>4.3085891425382439E-2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17">
        <v>5.4014310000000005</v>
      </c>
      <c r="E29" s="278">
        <v>3.7411319999999999</v>
      </c>
      <c r="F29" s="356">
        <f t="shared" si="1"/>
        <v>-0.30738132172752008</v>
      </c>
      <c r="G29" s="233">
        <v>50.181501000000004</v>
      </c>
      <c r="H29" s="278">
        <v>45.858294000000001</v>
      </c>
      <c r="I29" s="357">
        <f t="shared" si="2"/>
        <v>-8.6151408663523332E-2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17">
        <v>14.138508</v>
      </c>
      <c r="E30" s="278">
        <v>13.279609307500003</v>
      </c>
      <c r="F30" s="356">
        <f t="shared" si="1"/>
        <v>-6.0748891785469605E-2</v>
      </c>
      <c r="G30" s="233">
        <v>152.52033900000001</v>
      </c>
      <c r="H30" s="278">
        <v>157.62971347500002</v>
      </c>
      <c r="I30" s="356">
        <f t="shared" si="2"/>
        <v>3.3499627056297054E-2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17">
        <v>1.1005480000000003</v>
      </c>
      <c r="E31" s="278">
        <v>0</v>
      </c>
      <c r="F31" s="357">
        <f>+E31/D31-1</f>
        <v>-1</v>
      </c>
      <c r="G31" s="329">
        <v>13.489046000000005</v>
      </c>
      <c r="H31" s="305">
        <v>12.106028000000006</v>
      </c>
      <c r="I31" s="356">
        <f t="shared" si="2"/>
        <v>-0.10252897054395094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1">
        <v>3.2682953333333336</v>
      </c>
      <c r="E32" s="279">
        <v>3.548466154166666</v>
      </c>
      <c r="F32" s="358">
        <f t="shared" si="1"/>
        <v>8.5723838349573533E-2</v>
      </c>
      <c r="G32" s="234">
        <v>344.34879899999993</v>
      </c>
      <c r="H32" s="279">
        <v>94.497471183333346</v>
      </c>
      <c r="I32" s="358">
        <f t="shared" si="2"/>
        <v>-0.72557630095485437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17" t="s">
        <v>106</v>
      </c>
      <c r="D33" s="111">
        <f>SUM(D8:D32)</f>
        <v>4957.2509146000866</v>
      </c>
      <c r="E33" s="280">
        <f>SUM(E8:E32)</f>
        <v>4899.2160974774342</v>
      </c>
      <c r="F33" s="116">
        <f>+E33/D33-1</f>
        <v>-1.1707056617152101E-2</v>
      </c>
      <c r="G33" s="235">
        <f>SUM(G8:G32)</f>
        <v>56968.504119371843</v>
      </c>
      <c r="H33" s="280">
        <f>SUM(H8:H32)</f>
        <v>52713.493148334077</v>
      </c>
      <c r="I33" s="236">
        <f>+H33/G33-1</f>
        <v>-7.469058626011682E-2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31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1989.6641572161677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813.49416042078803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18</v>
      </c>
      <c r="O46" s="53">
        <v>275.56403388993351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59</v>
      </c>
      <c r="O47" s="52">
        <v>259.69380203864409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25</v>
      </c>
      <c r="O48" s="53">
        <v>244.20855949500006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27</v>
      </c>
      <c r="O49" s="53">
        <v>242.30604783583328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198.19136519933332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125.73269786298604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35</v>
      </c>
      <c r="O52" s="53">
        <v>121.09312582707108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36</v>
      </c>
      <c r="O53" s="53">
        <v>117.07876861416672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105.96663664604384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20</v>
      </c>
      <c r="O55" s="52">
        <v>98.040159592169204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26</v>
      </c>
      <c r="O56" s="53">
        <v>93.564035196666666</v>
      </c>
      <c r="P56" s="8"/>
      <c r="S56" s="91"/>
    </row>
    <row r="57" spans="3:19">
      <c r="N57" s="51" t="s">
        <v>34</v>
      </c>
      <c r="O57" s="52">
        <v>76.118227144166681</v>
      </c>
      <c r="S57" s="91"/>
    </row>
    <row r="58" spans="3:19">
      <c r="N58" s="51" t="s">
        <v>33</v>
      </c>
      <c r="O58" s="52">
        <v>65.547565559166671</v>
      </c>
      <c r="S58" s="91"/>
    </row>
    <row r="59" spans="3:19">
      <c r="N59" s="51" t="s">
        <v>31</v>
      </c>
      <c r="O59" s="52">
        <v>44.244866710891749</v>
      </c>
      <c r="S59" s="91"/>
    </row>
    <row r="60" spans="3:19">
      <c r="N60" s="51" t="s">
        <v>38</v>
      </c>
      <c r="O60" s="52">
        <v>13.279609307500003</v>
      </c>
      <c r="S60" s="91"/>
    </row>
    <row r="61" spans="3:19">
      <c r="N61" s="51" t="s">
        <v>37</v>
      </c>
      <c r="O61" s="52">
        <v>3.7411319999999999</v>
      </c>
      <c r="S61" s="91"/>
    </row>
    <row r="62" spans="3:19">
      <c r="N62" s="51" t="s">
        <v>40</v>
      </c>
      <c r="O62" s="52">
        <v>3.548466154166666</v>
      </c>
      <c r="S62" s="91"/>
    </row>
    <row r="63" spans="3:19">
      <c r="N63" s="50" t="s">
        <v>17</v>
      </c>
      <c r="O63" s="53">
        <v>2.9702170842386653</v>
      </c>
      <c r="S63" s="91"/>
    </row>
    <row r="64" spans="3:19">
      <c r="N64" s="50" t="s">
        <v>19</v>
      </c>
      <c r="O64" s="53">
        <v>2.3580909999999995</v>
      </c>
      <c r="S64" s="91"/>
    </row>
    <row r="65" spans="6:19">
      <c r="N65" s="50" t="s">
        <v>29</v>
      </c>
      <c r="O65" s="53">
        <v>1.7166916000000001</v>
      </c>
      <c r="S65" s="91"/>
    </row>
    <row r="66" spans="6:19">
      <c r="N66" s="50" t="s">
        <v>21</v>
      </c>
      <c r="O66" s="53">
        <v>0.87862533333333315</v>
      </c>
      <c r="S66" s="91"/>
    </row>
    <row r="67" spans="6:19">
      <c r="N67" s="51" t="s">
        <v>32</v>
      </c>
      <c r="O67" s="52">
        <v>0.21505574916666664</v>
      </c>
      <c r="S67" s="91"/>
    </row>
    <row r="68" spans="6:19">
      <c r="N68" s="9" t="s">
        <v>39</v>
      </c>
      <c r="O68" s="52">
        <v>0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2021-01-11T17:28:56Z</dcterms:modified>
</cp:coreProperties>
</file>